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4055" windowHeight="9660"/>
  </bookViews>
  <sheets>
    <sheet name="Lista e lejeve të lëshuara për " sheetId="1" r:id="rId1"/>
  </sheets>
  <definedNames>
    <definedName name="_xlnm._FilterDatabase" localSheetId="0" hidden="1">'Lista e lejeve të lëshuara për '!$B$6:$L$107</definedName>
  </definedNames>
  <calcPr calcId="145621"/>
</workbook>
</file>

<file path=xl/calcChain.xml><?xml version="1.0" encoding="utf-8"?>
<calcChain xmlns="http://schemas.openxmlformats.org/spreadsheetml/2006/main">
  <c r="H107" i="1" l="1"/>
  <c r="G107" i="1"/>
  <c r="L106" i="1"/>
  <c r="K106" i="1"/>
  <c r="L105" i="1"/>
  <c r="K105" i="1"/>
  <c r="L104" i="1"/>
  <c r="K104" i="1"/>
  <c r="K103" i="1"/>
  <c r="K102" i="1"/>
  <c r="K101" i="1"/>
  <c r="L100" i="1"/>
  <c r="K100" i="1"/>
  <c r="K99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L68" i="1"/>
  <c r="K68" i="1"/>
  <c r="L67" i="1"/>
  <c r="K67" i="1"/>
  <c r="L66" i="1"/>
  <c r="K66" i="1"/>
  <c r="L65" i="1"/>
  <c r="K65" i="1"/>
  <c r="K64" i="1"/>
  <c r="L63" i="1"/>
  <c r="K63" i="1"/>
  <c r="L62" i="1"/>
  <c r="K62" i="1"/>
  <c r="K61" i="1"/>
  <c r="L60" i="1"/>
  <c r="K60" i="1"/>
  <c r="L59" i="1"/>
  <c r="K59" i="1"/>
  <c r="K58" i="1"/>
  <c r="K57" i="1"/>
  <c r="L56" i="1"/>
  <c r="K56" i="1"/>
  <c r="K55" i="1"/>
  <c r="K54" i="1"/>
  <c r="L53" i="1"/>
  <c r="K53" i="1"/>
  <c r="L52" i="1"/>
  <c r="K52" i="1"/>
  <c r="L51" i="1"/>
  <c r="K51" i="1"/>
  <c r="K50" i="1"/>
  <c r="L49" i="1"/>
  <c r="K49" i="1"/>
  <c r="L48" i="1"/>
  <c r="K48" i="1"/>
  <c r="L47" i="1"/>
  <c r="K47" i="1"/>
  <c r="K46" i="1"/>
  <c r="L45" i="1"/>
  <c r="K45" i="1"/>
  <c r="L44" i="1"/>
  <c r="K44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K23" i="1"/>
  <c r="L22" i="1"/>
  <c r="K22" i="1"/>
  <c r="L21" i="1"/>
  <c r="K21" i="1"/>
  <c r="L20" i="1"/>
  <c r="K20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K8" i="1"/>
  <c r="L7" i="1"/>
  <c r="K7" i="1"/>
</calcChain>
</file>

<file path=xl/sharedStrings.xml><?xml version="1.0" encoding="utf-8"?>
<sst xmlns="http://schemas.openxmlformats.org/spreadsheetml/2006/main" count="662" uniqueCount="293">
  <si>
    <r>
      <rPr>
        <sz val="24"/>
        <rFont val="Arial"/>
      </rPr>
      <t xml:space="preserve">Komuna e Prishtinës </t>
    </r>
    <r>
      <rPr>
        <sz val="24"/>
        <color rgb="FF000000"/>
        <rFont val="Arial"/>
      </rPr>
      <t>- Drejtoria e Urbanizmit -</t>
    </r>
    <r>
      <rPr>
        <sz val="24"/>
        <rFont val="Arial"/>
      </rPr>
      <t xml:space="preserve"> Lejet e lëshuara 2012</t>
    </r>
  </si>
  <si>
    <t>Qytetarë të nderuar, këtu i keni të gjitha lejet ndërtimore e lëshuara në vitin 2012. Nëse nuk gjendet ndonjë leje në këtë tabelë, atëherë ndërtimi për të cilin ju intereson nuk ka leje ndërtimore.</t>
  </si>
  <si>
    <t>#</t>
  </si>
  <si>
    <t>Data e lëshimit të lejes</t>
  </si>
  <si>
    <t>Pronari / Pronarët (Përfaqësuesi)</t>
  </si>
  <si>
    <t>Kompania / Investitori</t>
  </si>
  <si>
    <t>Projektuesi</t>
  </si>
  <si>
    <t>Lagja</t>
  </si>
  <si>
    <t>Pagesa totale e lejës së lëshuar</t>
  </si>
  <si>
    <t>Etazhiteti</t>
  </si>
  <si>
    <t>Koment</t>
  </si>
  <si>
    <t>Dokumenti në PDF i lejës së lëshuar</t>
  </si>
  <si>
    <t>Situacioni i ndërtimit</t>
  </si>
  <si>
    <t xml:space="preserve">Ekrem, Rexhep Devexhiu, Borjana Slaviq, N.P.T "VallI" sh.p.k  </t>
  </si>
  <si>
    <t>N.P.SH "Cegish"</t>
  </si>
  <si>
    <t>Dodona</t>
  </si>
  <si>
    <t>2B+P+5</t>
  </si>
  <si>
    <t>Objekt shumëbanesor-afarist</t>
  </si>
  <si>
    <t>Fatos Krasniqi</t>
  </si>
  <si>
    <t>"Unikosproject" L.L.C</t>
  </si>
  <si>
    <t>Ulpiana</t>
  </si>
  <si>
    <t>P+4</t>
  </si>
  <si>
    <t>Ndërrim Destinimi</t>
  </si>
  <si>
    <t>Nuk Gjendet</t>
  </si>
  <si>
    <t>Faik Krasniqi, Kadri Osmani, Nazmi Jashanica, Ramë Smajlhasanaj, Muhamed Jashanica, Nysret Morina, Ramadan Gjonbalaj, Ontexi Construction sh.p.k, Ruhan Krasniqi, Sabit Krasniqi, Hamit Krasniqi, Tefik Krasniqi</t>
  </si>
  <si>
    <t>"Ontexi Construction'' sh.p.k</t>
  </si>
  <si>
    <t>Bregu i diellit</t>
  </si>
  <si>
    <t>2B+P+10+Nk</t>
  </si>
  <si>
    <t xml:space="preserve">Iljaz Zogu, Hatixhe Zogu </t>
  </si>
  <si>
    <t>N.T.SH. "Urban 3A"</t>
  </si>
  <si>
    <t>Arbëri</t>
  </si>
  <si>
    <t>B+P+1</t>
  </si>
  <si>
    <t>Mbindërtim-Objekt Individual</t>
  </si>
  <si>
    <t>Selim Neziri</t>
  </si>
  <si>
    <t>"Arcadis Construction" sh.p.k</t>
  </si>
  <si>
    <t>Tophane</t>
  </si>
  <si>
    <t>B+P+10</t>
  </si>
  <si>
    <t>Sinan Sahiti</t>
  </si>
  <si>
    <t>"Albakos-1" sh.p.k</t>
  </si>
  <si>
    <t>N.T.Sh "Studio Zero"</t>
  </si>
  <si>
    <t>Mati 1</t>
  </si>
  <si>
    <t>2B+P+6</t>
  </si>
  <si>
    <t>Bashkësia Islame e Kosovës</t>
  </si>
  <si>
    <t>N.T.SH. "Total 3D"</t>
  </si>
  <si>
    <t>-</t>
  </si>
  <si>
    <t>Lirohet nga Pagesa</t>
  </si>
  <si>
    <t>B+P+2</t>
  </si>
  <si>
    <t>Konvikt</t>
  </si>
  <si>
    <t>Henor Mala</t>
  </si>
  <si>
    <t>"Andi Group"</t>
  </si>
  <si>
    <t>B+S+P+2</t>
  </si>
  <si>
    <t xml:space="preserve">Ministria e Administratës Publike </t>
  </si>
  <si>
    <t>"Ic Consulenten" sh.p.k</t>
  </si>
  <si>
    <t>Lagjja e Spitalit</t>
  </si>
  <si>
    <t>P+1</t>
  </si>
  <si>
    <t>Institut Psikiatrik i Forenzikës</t>
  </si>
  <si>
    <t>Sabrije Shema, Shaban Shema, Bekim Syla, "Nartel Ex-In F&amp;A" N.N</t>
  </si>
  <si>
    <t>N.P.N. "Arch-In"</t>
  </si>
  <si>
    <t>Kalabria</t>
  </si>
  <si>
    <t>B+P+8, B+P+8</t>
  </si>
  <si>
    <t>Sadik Canolli, Salahedin Qukpishti</t>
  </si>
  <si>
    <t>"Durguti-E" sh.p.k</t>
  </si>
  <si>
    <t>N.T.Sh "Total 3D"</t>
  </si>
  <si>
    <t>B+P+11</t>
  </si>
  <si>
    <t>Habib Leci, Hasim Dërmaku, Jahir Ahmeti, Sebush Dërmaku, Hasan Dërmaku. Habib Dërmaku, Naim Murati, Qamil Hajrizi, Agron Stublla, Fadil Grajçevci, Feti Gashi Hysen Hajdini</t>
  </si>
  <si>
    <t>"Pozhegu Brothers" sh.p.k</t>
  </si>
  <si>
    <t>N.P. "Maden Studio Kreative"</t>
  </si>
  <si>
    <t>3B+P+9</t>
  </si>
  <si>
    <t>QKUK</t>
  </si>
  <si>
    <t>"Top Projekt" sh.p.k</t>
  </si>
  <si>
    <t>Prishtina e Re-Zona Perëndimore</t>
  </si>
  <si>
    <t>P+0</t>
  </si>
  <si>
    <t>Renovim</t>
  </si>
  <si>
    <t xml:space="preserve">Muhamet Kelmendi </t>
  </si>
  <si>
    <t>"F&amp;A Inxhiniering" sh.p.k</t>
  </si>
  <si>
    <t>Taslixhe</t>
  </si>
  <si>
    <t>Objekt Individual</t>
  </si>
  <si>
    <t>"Kompania e re Kosova Hidroteknika" sh.p.k</t>
  </si>
  <si>
    <t>"Kosova Projekt" sh.p.k</t>
  </si>
  <si>
    <t>3B+P+5</t>
  </si>
  <si>
    <t>"Ramiz Sadiku" sh.p.k</t>
  </si>
  <si>
    <t>"Horizons Group" sh.p.k.</t>
  </si>
  <si>
    <t>Lakrishtë</t>
  </si>
  <si>
    <t>P+10</t>
  </si>
  <si>
    <t>Vehbi Jusufi</t>
  </si>
  <si>
    <t>Myren Shylemaja, Dukagjin Shylemaja, Zenel Pllashniku, Ragip Rrahmani, Fetije Bajqinovci, Faik Beqiri, Zeqirja Rrahmani, Shpresa Etemi</t>
  </si>
  <si>
    <t>N.T.Sh. "ADK"</t>
  </si>
  <si>
    <t>B+P+8</t>
  </si>
  <si>
    <t>Drita Neziri, Mehmet Çoçaj, Ibish Çoçaj, Gani Çoçaj</t>
  </si>
  <si>
    <t>"Trio Construction" sh.p.k</t>
  </si>
  <si>
    <t>"Bashkimi Projekt" sh.p.k</t>
  </si>
  <si>
    <t>Fatmir Muja</t>
  </si>
  <si>
    <t>"Kervencan" sh.p.k</t>
  </si>
  <si>
    <t>N.N.P. "Terraplan" sh.p.k</t>
  </si>
  <si>
    <t>"Sizmir" sh.p.k</t>
  </si>
  <si>
    <t>I.SH.T. "Intech"</t>
  </si>
  <si>
    <t>2B+P+7</t>
  </si>
  <si>
    <t>Xhafer Rrmoku, Besim Bërbatovci, Sabri Selmani, Ismail Morina, Sebastian Nuiq, Mustafë Baholli, Skender Baholli dhe Ramadan Baholli</t>
  </si>
  <si>
    <t>2B+P+8</t>
  </si>
  <si>
    <t>Pellumb Bajgora</t>
  </si>
  <si>
    <t>N.P.N "Patria"</t>
  </si>
  <si>
    <t>Çakllavicë</t>
  </si>
  <si>
    <t xml:space="preserve">Ali Tyrbetari, Xhemil Spahi, Orhan Spahija, Shefki Spahi, Adnan Sylejmani </t>
  </si>
  <si>
    <t>N.T.SH. "Adk"</t>
  </si>
  <si>
    <t>B+P+4</t>
  </si>
  <si>
    <t>"Pozhegu Brothers"</t>
  </si>
  <si>
    <t>N.P "Maden Studio Kreative"</t>
  </si>
  <si>
    <t>NTSH Export-Import-Nazi</t>
  </si>
  <si>
    <t>"Hysi Group"</t>
  </si>
  <si>
    <t>N.P.N "Unioni"</t>
  </si>
  <si>
    <t>3B+P+23</t>
  </si>
  <si>
    <t xml:space="preserve">Faik Retkoceri </t>
  </si>
  <si>
    <t>Qendra 1</t>
  </si>
  <si>
    <t>Zenel Sejfijaj</t>
  </si>
  <si>
    <t>Drejtoria Për Arsim dhe Kulturë</t>
  </si>
  <si>
    <t>N.Sh. "A Desing"</t>
  </si>
  <si>
    <t>Qyteti i Vjetër</t>
  </si>
  <si>
    <t>Objekt Arsimor</t>
  </si>
  <si>
    <t>Hivzija Ashimi</t>
  </si>
  <si>
    <t>Lagja e Muhaxherëve</t>
  </si>
  <si>
    <t>Rindërtim - Mbindërtim</t>
  </si>
  <si>
    <t>Hamit Mani, Fadil Kasuni</t>
  </si>
  <si>
    <t>N.T. "Burimi Comerc" sh.p.k</t>
  </si>
  <si>
    <t>N.P.Sh. "Pro Cad Ing" sh.p.k</t>
  </si>
  <si>
    <t>55.157.30</t>
  </si>
  <si>
    <t>B+P+6</t>
  </si>
  <si>
    <t>Osman Kastrati, Ilir Kastrati, Igballe Gërbeshi, Nysret Kqiku</t>
  </si>
  <si>
    <t>"Swiss Building Standards"</t>
  </si>
  <si>
    <t>L.L.C. "Unikosproject"</t>
  </si>
  <si>
    <t>B+P+3+Nk</t>
  </si>
  <si>
    <t xml:space="preserve">Fatmir, Agron Xhambazi </t>
  </si>
  <si>
    <t>Çerkin Tërshnjaku</t>
  </si>
  <si>
    <t>Velania</t>
  </si>
  <si>
    <t>Jeton, Gazmend Jusufi</t>
  </si>
  <si>
    <t>"Enggroup" sh.p.k</t>
  </si>
  <si>
    <t>Kodra e Trimave</t>
  </si>
  <si>
    <t>P+2</t>
  </si>
  <si>
    <t>Shefkate Kulinxha, Bejtush Blakqori, Ismet Blakqori, Gafurr Blakqori, Veli Blakqori, Fahri Blakqori, Shukri Blakqori, Burim Blakqori, Bahtije Ajvazi, Bujar Blakqori, Behar Blakqori</t>
  </si>
  <si>
    <t>N.N "Lesna Ndërtimi"</t>
  </si>
  <si>
    <t>N.sh "Blakaj Arkitekture"</t>
  </si>
  <si>
    <t>2B+P+9</t>
  </si>
  <si>
    <t xml:space="preserve">Vehbi Raif, Nexhat, Avni, Rexhep, Hajrie Gashi </t>
  </si>
  <si>
    <t>N.P.N. "Labi Com" sh.p.k</t>
  </si>
  <si>
    <t>"Arcadis" sh.p.k</t>
  </si>
  <si>
    <t>Miftar Shala</t>
  </si>
  <si>
    <t>n.p.n. " Pro Art"</t>
  </si>
  <si>
    <t>B+P+1+NK</t>
  </si>
  <si>
    <t xml:space="preserve">Hamit Kastrati </t>
  </si>
  <si>
    <t>KNT "Dardania Company"</t>
  </si>
  <si>
    <t>L.L.C. "Unicosproject"</t>
  </si>
  <si>
    <t xml:space="preserve">Drejtoria për Arsim </t>
  </si>
  <si>
    <t>"Eup Engineering" sh.p.k</t>
  </si>
  <si>
    <t xml:space="preserve">Hajvalia </t>
  </si>
  <si>
    <t>"Enk Invest Group" ShA</t>
  </si>
  <si>
    <t>N.P. "Anarch" sh.p.k</t>
  </si>
  <si>
    <t>P+7</t>
  </si>
  <si>
    <t>Objekt afarist-administrativ</t>
  </si>
  <si>
    <t>"Links 4"</t>
  </si>
  <si>
    <t>Barilevë</t>
  </si>
  <si>
    <t>N.T.SH. "ADK"</t>
  </si>
  <si>
    <t xml:space="preserve">Shemsi Pllana, Hetem Ahmeti </t>
  </si>
  <si>
    <t>B+P+7</t>
  </si>
  <si>
    <t>Zejnullah Berisha, Idriz Berisha, Ilir Berisha, Musa Salihu</t>
  </si>
  <si>
    <t>N.P. "Krapi-Com"</t>
  </si>
  <si>
    <t>N.P.N. "Toning"</t>
  </si>
  <si>
    <t>Edmond Obërtinca</t>
  </si>
  <si>
    <t>"Hap" sh.p.k</t>
  </si>
  <si>
    <t>Aktash</t>
  </si>
  <si>
    <t>Objekt Mix</t>
  </si>
  <si>
    <t>Shaban Svirca</t>
  </si>
  <si>
    <t>Sofalia</t>
  </si>
  <si>
    <t>Drejtoria e Shëndetësisë dhe Mirëqenies Sociale</t>
  </si>
  <si>
    <t>Medrese</t>
  </si>
  <si>
    <t>Qendër e Mjekësisë Familjare</t>
  </si>
  <si>
    <t>Ekrem Zeqiri</t>
  </si>
  <si>
    <t>Qendra</t>
  </si>
  <si>
    <t>Fehmi Bytyqi</t>
  </si>
  <si>
    <t>N.P.N. "Build.Ing"</t>
  </si>
  <si>
    <t>Zona Historike</t>
  </si>
  <si>
    <t>Behxhet Veseli</t>
  </si>
  <si>
    <t>Bashkim Ajdini</t>
  </si>
  <si>
    <t>Sofali</t>
  </si>
  <si>
    <t xml:space="preserve">Meliha Jusufi, Xhelal Krasniqi, Fatime Rexhepi </t>
  </si>
  <si>
    <t>"Almur" sh.p.k</t>
  </si>
  <si>
    <t>Ramadan Ramadani, Mustafa Ramadani</t>
  </si>
  <si>
    <t>"Diarko" sh.p.k</t>
  </si>
  <si>
    <t>Besi</t>
  </si>
  <si>
    <t xml:space="preserve">Gani Tigani </t>
  </si>
  <si>
    <t>Pejton</t>
  </si>
  <si>
    <t>Hysen Shabani</t>
  </si>
  <si>
    <t>n.sh.p. "Arch.Atele"</t>
  </si>
  <si>
    <t>Tahir Berisha</t>
  </si>
  <si>
    <t>N.P. "Premium-Eng"</t>
  </si>
  <si>
    <t>Bardhosh</t>
  </si>
  <si>
    <t>Zeqir Haxhija, Valdet, Fitim, Skender, Ekrem Kaçandolli</t>
  </si>
  <si>
    <t>N.N.P. "Joni Tech" sh.p.k</t>
  </si>
  <si>
    <t>B+S+P+6</t>
  </si>
  <si>
    <t xml:space="preserve">Zaha Berisha </t>
  </si>
  <si>
    <t>Nazmi Gërdovci, Rrahim Gërdovci, Burim Reka, Ermullah Berisha, Muhamet Bulliqi</t>
  </si>
  <si>
    <t>N.N.Sh "Flori"</t>
  </si>
  <si>
    <t>2B+P+8+Nk</t>
  </si>
  <si>
    <t>Shaban Shema, Sabrije Shema, Bekim Syla</t>
  </si>
  <si>
    <t>N.N."Nartel ex-in F&amp;A" sh.p.k</t>
  </si>
  <si>
    <t>"Engrup" sh.p.k</t>
  </si>
  <si>
    <t>Dren Rugova</t>
  </si>
  <si>
    <t>NNSH "Ndërtimi"</t>
  </si>
  <si>
    <t>B+P+1+Nk</t>
  </si>
  <si>
    <t>Avni Dehari, Shaban Hasani, Naip Alishani, Selman Fazliu</t>
  </si>
  <si>
    <t>NPN "Premtimi"</t>
  </si>
  <si>
    <t>N.N.Sh. "VG Construction"</t>
  </si>
  <si>
    <t>B+P+8E</t>
  </si>
  <si>
    <t>Hasan Rogova</t>
  </si>
  <si>
    <t>Mehdi Qyqalla, Ali Qyqalla, Sami Qyqalla, Imajl Qyqalla</t>
  </si>
  <si>
    <t>"Nura Group" sh.p.k</t>
  </si>
  <si>
    <t>Valdet Gashi</t>
  </si>
  <si>
    <t xml:space="preserve">Sokol, Hisen, Haki Mehmeti </t>
  </si>
  <si>
    <t>"Arti Group" sh.p.k</t>
  </si>
  <si>
    <t>"Archidido"</t>
  </si>
  <si>
    <t>Nuk Gjenden të dhënat</t>
  </si>
  <si>
    <t>2B+P+4+Nk</t>
  </si>
  <si>
    <t>Trio Contruction" sh.p.k</t>
  </si>
  <si>
    <t>"Trio Contruction" sh.p.k</t>
  </si>
  <si>
    <t>Qerim Sherifi</t>
  </si>
  <si>
    <t>Agim Raifi</t>
  </si>
  <si>
    <t>"N.P.N.I.K. "Uniproject"</t>
  </si>
  <si>
    <t>B+S+P+7+Nk</t>
  </si>
  <si>
    <t>Agon, Valon Baraku, Alije Vokshi</t>
  </si>
  <si>
    <t>"BP-Home" sh.p.k</t>
  </si>
  <si>
    <t>B.P. "Blakaj-Arkitekturë"</t>
  </si>
  <si>
    <t>Ismajl Cakolli</t>
  </si>
  <si>
    <t>Vreshtat</t>
  </si>
  <si>
    <t>Naser Xhakalia</t>
  </si>
  <si>
    <t>Arbëria 2</t>
  </si>
  <si>
    <t>Bahtir Sopi</t>
  </si>
  <si>
    <t>Korporata Energjetike e Kosovës</t>
  </si>
  <si>
    <t>Korporata Energjike e Kosovës</t>
  </si>
  <si>
    <t>"ABB"</t>
  </si>
  <si>
    <t>Prishtina e Re</t>
  </si>
  <si>
    <t>Objekt Përcjellës</t>
  </si>
  <si>
    <t>Isuf Dubova, Bardh Ibrahimi, Agim Sadiku, Naim Sadiku,Bedri Mustafa</t>
  </si>
  <si>
    <t>NPN "Hoxha"</t>
  </si>
  <si>
    <t>"NSH Gega Trade"</t>
  </si>
  <si>
    <t>B+S+P+8+Nk</t>
  </si>
  <si>
    <t xml:space="preserve">Ilir Mustafa </t>
  </si>
  <si>
    <t>N.P.N."Uni-Projekt"</t>
  </si>
  <si>
    <t>Bardhyl Sopi, Tafil, Nazmi Thaqi</t>
  </si>
  <si>
    <t>"Sima Com" sh.p.k</t>
  </si>
  <si>
    <t>"Arkadis" sh.p.k</t>
  </si>
  <si>
    <t>Vehbi Tërnava</t>
  </si>
  <si>
    <t>Nazmi Talla</t>
  </si>
  <si>
    <t>N.P. "Alba-Conark"</t>
  </si>
  <si>
    <t>"NTSH Export-Import-Nazi"</t>
  </si>
  <si>
    <t>NPN "Unioni"</t>
  </si>
  <si>
    <t>Objekt afarist</t>
  </si>
  <si>
    <t>Idriz, Aziz Berbatovci</t>
  </si>
  <si>
    <t xml:space="preserve">N.T.SH "Total 3d" </t>
  </si>
  <si>
    <t>Sherif Kastrati</t>
  </si>
  <si>
    <t>Faik Krasniqi, Kadri Osmani, Nazmi Jashanica, Ramë Smajlhasanaj, Muhamed Jashanica, Nysret Morina, Ramadan Gjonbalaj, Ontex Construktion, Ruhan Krasniqi, Sabit Krasniqi, Hamit Krasniqi, Tefik Krasniqi</t>
  </si>
  <si>
    <t>"Ontex Construktion" sh.p.k</t>
  </si>
  <si>
    <t>N.P.I.K. "Max Arch"</t>
  </si>
  <si>
    <t>Bregu i Diellit</t>
  </si>
  <si>
    <t>"Ballkan Internacional Kosovë" sh.p.k</t>
  </si>
  <si>
    <t>N.P.K.I "Max-Arch"</t>
  </si>
  <si>
    <t>Abdyl Rexhepi</t>
  </si>
  <si>
    <t>B+P+1,B+P+1</t>
  </si>
  <si>
    <t>Baki, Basri, Dali, Halimi, Gani Aliu</t>
  </si>
  <si>
    <t>N.N.P. "Standard Plus"</t>
  </si>
  <si>
    <t>Matiçan</t>
  </si>
  <si>
    <t>B+P+5</t>
  </si>
  <si>
    <t>Myren Shylemaja, Dukagjin Shylemaja, Zenel Pllashniku, Ragip Rrahmani, Fetije Bajqinovci, Faik Beqiri</t>
  </si>
  <si>
    <t xml:space="preserve">N.T.Sh. "Adk" </t>
  </si>
  <si>
    <t xml:space="preserve">Nexhmije Bërbatovci </t>
  </si>
  <si>
    <t>Dardania</t>
  </si>
  <si>
    <t>P+3</t>
  </si>
  <si>
    <t>Bujar Dugolli</t>
  </si>
  <si>
    <t>N.P.N "Aek"</t>
  </si>
  <si>
    <t xml:space="preserve">Sabrije Kastrati </t>
  </si>
  <si>
    <t>B+P+3</t>
  </si>
  <si>
    <t xml:space="preserve">Blerim Batalli </t>
  </si>
  <si>
    <t>Ismail Maloku</t>
  </si>
  <si>
    <t>Ministria e Tregtisë dhe Industrisë</t>
  </si>
  <si>
    <t>N.P. "Fidola"</t>
  </si>
  <si>
    <t>Zona Ekonomike</t>
  </si>
  <si>
    <t>B+P+Nk</t>
  </si>
  <si>
    <t>Laborator i Industrise dhe Kimisë</t>
  </si>
  <si>
    <t>"Company 21"</t>
  </si>
  <si>
    <t>"Nartel" sh.p.k</t>
  </si>
  <si>
    <t>NNE "Nartel" sh.p.k</t>
  </si>
  <si>
    <t>B+P+9, B+P+8, B+P+6</t>
  </si>
  <si>
    <t>"Arhiko.ING"</t>
  </si>
  <si>
    <t>Qendër i Panaireve</t>
  </si>
  <si>
    <t>TOTALI :</t>
  </si>
  <si>
    <r>
      <t>Sipërfaqja totale ndërtimore në</t>
    </r>
    <r>
      <rPr>
        <b/>
        <sz val="12"/>
        <color rgb="FFFF0000"/>
        <rFont val="Arial"/>
        <family val="2"/>
      </rPr>
      <t xml:space="preserve"> m²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</si>
</sst>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€]#,##0.00"/>
    <numFmt numFmtId="165" formatCode="dd&quot;.&quot;mm&quot;.&quot;yyyy"/>
  </numFmts>
  <fonts count="28" x14ac:knownFonts="1">
    <font>
      <sz val="10"/>
      <color rgb="FF000000"/>
      <name val="Arial"/>
    </font>
    <font>
      <b/>
      <sz val="24"/>
      <color rgb="FF0000FF"/>
      <name val="Arial"/>
    </font>
    <font>
      <sz val="10"/>
      <name val="Arial"/>
    </font>
    <font>
      <b/>
      <sz val="20"/>
      <color rgb="FF0000FF"/>
      <name val="Arial"/>
    </font>
    <font>
      <b/>
      <sz val="13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24"/>
      <name val="Arial"/>
    </font>
    <font>
      <sz val="24"/>
      <color rgb="FF000000"/>
      <name val="Arial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1AEFF"/>
        <bgColor rgb="FF51AE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7">
    <xf numFmtId="0" fontId="0" fillId="0" borderId="0" xfId="0" applyFont="1" applyAlignment="1"/>
    <xf numFmtId="0" fontId="5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165" fontId="8" fillId="0" borderId="9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16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164" fontId="23" fillId="2" borderId="10" xfId="0" applyNumberFormat="1" applyFont="1" applyFill="1" applyBorder="1" applyAlignment="1">
      <alignment horizontal="center" vertical="center" wrapText="1"/>
    </xf>
    <xf numFmtId="43" fontId="22" fillId="0" borderId="10" xfId="1" applyFont="1" applyBorder="1" applyAlignment="1">
      <alignment horizontal="left" vertical="center" wrapText="1"/>
    </xf>
    <xf numFmtId="43" fontId="22" fillId="0" borderId="10" xfId="1" applyFont="1" applyBorder="1" applyAlignment="1">
      <alignment horizontal="left" vertical="center"/>
    </xf>
    <xf numFmtId="43" fontId="22" fillId="0" borderId="9" xfId="1" applyFont="1" applyBorder="1" applyAlignment="1">
      <alignment horizontal="center" vertical="center" wrapText="1"/>
    </xf>
    <xf numFmtId="43" fontId="22" fillId="0" borderId="9" xfId="1" applyFont="1" applyBorder="1" applyAlignment="1">
      <alignment horizontal="left" vertical="center" wrapText="1"/>
    </xf>
    <xf numFmtId="43" fontId="22" fillId="0" borderId="10" xfId="1" applyFont="1" applyBorder="1" applyAlignment="1">
      <alignment vertical="center"/>
    </xf>
    <xf numFmtId="43" fontId="22" fillId="0" borderId="0" xfId="1" applyFont="1" applyAlignment="1">
      <alignment horizontal="left" vertical="center"/>
    </xf>
    <xf numFmtId="43" fontId="22" fillId="0" borderId="9" xfId="1" applyFont="1" applyBorder="1" applyAlignment="1">
      <alignment horizontal="left" vertical="center"/>
    </xf>
    <xf numFmtId="164" fontId="27" fillId="0" borderId="10" xfId="0" applyNumberFormat="1" applyFont="1" applyBorder="1" applyAlignment="1">
      <alignment horizontal="left" vertical="center"/>
    </xf>
    <xf numFmtId="164" fontId="27" fillId="0" borderId="9" xfId="0" applyNumberFormat="1" applyFont="1" applyBorder="1" applyAlignment="1">
      <alignment horizontal="left" vertical="center" wrapText="1"/>
    </xf>
    <xf numFmtId="164" fontId="27" fillId="0" borderId="9" xfId="0" applyNumberFormat="1" applyFont="1" applyBorder="1" applyAlignment="1">
      <alignment horizontal="left" vertical="center"/>
    </xf>
    <xf numFmtId="0" fontId="0" fillId="0" borderId="0" xfId="0" applyFont="1" applyBorder="1" applyAlignment="1"/>
    <xf numFmtId="0" fontId="25" fillId="0" borderId="0" xfId="0" applyFont="1" applyFill="1" applyBorder="1" applyAlignment="1">
      <alignment horizontal="center" vertical="center" wrapText="1"/>
    </xf>
    <xf numFmtId="43" fontId="25" fillId="0" borderId="0" xfId="0" applyNumberFormat="1" applyFont="1" applyBorder="1" applyAlignment="1"/>
    <xf numFmtId="164" fontId="25" fillId="0" borderId="0" xfId="0" applyNumberFormat="1" applyFont="1" applyBorder="1" applyAlignment="1"/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3" fontId="22" fillId="0" borderId="11" xfId="1" applyFont="1" applyBorder="1" applyAlignment="1">
      <alignment horizontal="center" vertical="center" wrapText="1"/>
    </xf>
    <xf numFmtId="164" fontId="27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781050</xdr:colOff>
      <xdr:row>0</xdr:row>
      <xdr:rowOff>28575</xdr:rowOff>
    </xdr:from>
    <xdr:to>
      <xdr:col>11</xdr:col>
      <xdr:colOff>38100</xdr:colOff>
      <xdr:row>4</xdr:row>
      <xdr:rowOff>219075</xdr:rowOff>
    </xdr:to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14400" cy="1276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>
      <pane ySplit="6" topLeftCell="A7" activePane="bottomLeft" state="frozen"/>
      <selection pane="bottomLeft" sqref="A1:J3"/>
    </sheetView>
  </sheetViews>
  <sheetFormatPr defaultColWidth="14.42578125" defaultRowHeight="15.75" customHeight="1" x14ac:dyDescent="0.2"/>
  <cols>
    <col min="1" max="1" width="4.42578125" customWidth="1"/>
    <col min="2" max="2" width="11.42578125" customWidth="1"/>
    <col min="3" max="3" width="52.85546875" customWidth="1"/>
    <col min="4" max="4" width="29.42578125" customWidth="1"/>
    <col min="5" max="5" width="21.7109375" customWidth="1"/>
    <col min="6" max="6" width="14.7109375" customWidth="1"/>
    <col min="7" max="7" width="14.85546875" customWidth="1"/>
    <col min="8" max="8" width="18.28515625" customWidth="1"/>
    <col min="9" max="9" width="22.7109375" customWidth="1"/>
    <col min="10" max="10" width="31.42578125" customWidth="1"/>
    <col min="11" max="11" width="24.85546875" customWidth="1"/>
    <col min="12" max="12" width="13.85546875" customWidth="1"/>
  </cols>
  <sheetData>
    <row r="1" spans="1:12" ht="16.5" customHeight="1" x14ac:dyDescent="0.2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8"/>
      <c r="K1" s="65"/>
      <c r="L1" s="58"/>
    </row>
    <row r="2" spans="1:12" ht="18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1"/>
      <c r="K2" s="59"/>
      <c r="L2" s="61"/>
    </row>
    <row r="3" spans="1:12" ht="26.25" customHeight="1" x14ac:dyDescent="0.2">
      <c r="A3" s="62"/>
      <c r="B3" s="63"/>
      <c r="C3" s="63"/>
      <c r="D3" s="63"/>
      <c r="E3" s="63"/>
      <c r="F3" s="63"/>
      <c r="G3" s="63"/>
      <c r="H3" s="63"/>
      <c r="I3" s="63"/>
      <c r="J3" s="64"/>
      <c r="K3" s="59"/>
      <c r="L3" s="61"/>
    </row>
    <row r="4" spans="1:12" ht="24.75" customHeight="1" x14ac:dyDescent="0.2">
      <c r="A4" s="66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9"/>
      <c r="L4" s="61"/>
    </row>
    <row r="5" spans="1:12" ht="21.75" customHeight="1" x14ac:dyDescent="0.2">
      <c r="A5" s="59"/>
      <c r="B5" s="60"/>
      <c r="C5" s="60"/>
      <c r="D5" s="60"/>
      <c r="E5" s="60"/>
      <c r="F5" s="60"/>
      <c r="G5" s="60"/>
      <c r="H5" s="60"/>
      <c r="I5" s="60"/>
      <c r="J5" s="60"/>
      <c r="K5" s="62"/>
      <c r="L5" s="64"/>
    </row>
    <row r="6" spans="1:12" ht="63" x14ac:dyDescent="0.2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33" t="s">
        <v>292</v>
      </c>
      <c r="H6" s="3" t="s">
        <v>8</v>
      </c>
      <c r="I6" s="2" t="s">
        <v>9</v>
      </c>
      <c r="J6" s="2" t="s">
        <v>10</v>
      </c>
      <c r="K6" s="2" t="s">
        <v>11</v>
      </c>
      <c r="L6" s="2" t="s">
        <v>12</v>
      </c>
    </row>
    <row r="7" spans="1:12" ht="38.25" x14ac:dyDescent="0.2">
      <c r="A7" s="4">
        <v>1</v>
      </c>
      <c r="B7" s="5">
        <v>41255</v>
      </c>
      <c r="C7" s="6" t="s">
        <v>13</v>
      </c>
      <c r="D7" s="6" t="s">
        <v>13</v>
      </c>
      <c r="E7" s="6" t="s">
        <v>14</v>
      </c>
      <c r="F7" s="7" t="s">
        <v>15</v>
      </c>
      <c r="G7" s="34">
        <v>2508.5300000000002</v>
      </c>
      <c r="H7" s="41">
        <v>58483.39</v>
      </c>
      <c r="I7" s="6" t="s">
        <v>16</v>
      </c>
      <c r="J7" s="9" t="s">
        <v>17</v>
      </c>
      <c r="K7" s="10" t="str">
        <f>HYPERLINK("https://drive.google.com/file/d/0Bxf6anvYj47HeVNSQzhSNXNVTFE/view?usp=sharing","Leja me nr. 05-351-33869")</f>
        <v>Leja me nr. 05-351-33869</v>
      </c>
      <c r="L7" s="11" t="str">
        <f>HYPERLINK("https://drive.google.com/file/d/0Bxf6anvYj47HbE1GdTBSN2lQZUU/view?usp=sharing","Situacioni")</f>
        <v>Situacioni</v>
      </c>
    </row>
    <row r="8" spans="1:12" ht="12.75" x14ac:dyDescent="0.2">
      <c r="A8" s="4">
        <v>2</v>
      </c>
      <c r="B8" s="5">
        <v>41249</v>
      </c>
      <c r="C8" s="6" t="s">
        <v>18</v>
      </c>
      <c r="D8" s="6" t="s">
        <v>18</v>
      </c>
      <c r="E8" s="6" t="s">
        <v>19</v>
      </c>
      <c r="F8" s="7" t="s">
        <v>20</v>
      </c>
      <c r="G8" s="35">
        <v>66.8</v>
      </c>
      <c r="H8" s="41">
        <v>3340</v>
      </c>
      <c r="I8" s="6" t="s">
        <v>21</v>
      </c>
      <c r="J8" s="12" t="s">
        <v>22</v>
      </c>
      <c r="K8" s="13" t="str">
        <f>HYPERLINK("https://drive.google.com/file/d/0Bxf6anvYj47HYzJNcTlCM1dCcDA/view?usp=sharing","Leja me nr. 015-351-38150")</f>
        <v>Leja me nr. 015-351-38150</v>
      </c>
      <c r="L8" s="14" t="s">
        <v>23</v>
      </c>
    </row>
    <row r="9" spans="1:12" ht="51" x14ac:dyDescent="0.2">
      <c r="A9" s="4">
        <v>3</v>
      </c>
      <c r="B9" s="5">
        <v>41246</v>
      </c>
      <c r="C9" s="6" t="s">
        <v>24</v>
      </c>
      <c r="D9" s="6" t="s">
        <v>25</v>
      </c>
      <c r="E9" s="6" t="s">
        <v>25</v>
      </c>
      <c r="F9" s="7" t="s">
        <v>26</v>
      </c>
      <c r="G9" s="35">
        <v>7277.34</v>
      </c>
      <c r="H9" s="41">
        <v>185128.28</v>
      </c>
      <c r="I9" s="6" t="s">
        <v>27</v>
      </c>
      <c r="J9" s="12" t="s">
        <v>17</v>
      </c>
      <c r="K9" s="10" t="str">
        <f>HYPERLINK("https://drive.google.com/file/d/0Bxf6anvYj47HSmlUVEc2WVdBV1E/view?usp=sharing","Leja me nr. 05-351-35061")</f>
        <v>Leja me nr. 05-351-35061</v>
      </c>
      <c r="L9" s="11" t="str">
        <f>HYPERLINK("https://drive.google.com/file/d/0Bxf6anvYj47HNnZTcm1CSUM0RlU/view?usp=sharing","Situacioni")</f>
        <v>Situacioni</v>
      </c>
    </row>
    <row r="10" spans="1:12" ht="12.75" x14ac:dyDescent="0.2">
      <c r="A10" s="4">
        <v>4</v>
      </c>
      <c r="B10" s="5">
        <v>41240</v>
      </c>
      <c r="C10" s="6" t="s">
        <v>28</v>
      </c>
      <c r="D10" s="6" t="s">
        <v>28</v>
      </c>
      <c r="E10" s="6" t="s">
        <v>29</v>
      </c>
      <c r="F10" s="7" t="s">
        <v>30</v>
      </c>
      <c r="G10" s="35">
        <v>131</v>
      </c>
      <c r="H10" s="41">
        <v>1572</v>
      </c>
      <c r="I10" s="6" t="s">
        <v>31</v>
      </c>
      <c r="J10" s="12" t="s">
        <v>32</v>
      </c>
      <c r="K10" s="10" t="str">
        <f>HYPERLINK("https://drive.google.com/file/d/0Bxf6anvYj47HbkdFM3loZTR3OU0/view?usp=sharing","Leja me nr. 05-350-15107/1")</f>
        <v>Leja me nr. 05-350-15107/1</v>
      </c>
      <c r="L10" s="11" t="str">
        <f>HYPERLINK("https://drive.google.com/file/d/0Bxf6anvYj47HTnlBRTU0ekxLbDQ/view?usp=sharing","Situacioni")</f>
        <v>Situacioni</v>
      </c>
    </row>
    <row r="11" spans="1:12" ht="25.5" x14ac:dyDescent="0.2">
      <c r="A11" s="4">
        <v>5</v>
      </c>
      <c r="B11" s="5">
        <v>41239</v>
      </c>
      <c r="C11" s="6" t="s">
        <v>33</v>
      </c>
      <c r="D11" s="6" t="s">
        <v>33</v>
      </c>
      <c r="E11" s="6" t="s">
        <v>34</v>
      </c>
      <c r="F11" s="7" t="s">
        <v>35</v>
      </c>
      <c r="G11" s="35">
        <v>4814.24</v>
      </c>
      <c r="H11" s="41">
        <v>122678.53</v>
      </c>
      <c r="I11" s="6" t="s">
        <v>36</v>
      </c>
      <c r="J11" s="12" t="s">
        <v>17</v>
      </c>
      <c r="K11" s="11" t="str">
        <f>HYPERLINK("https://drive.google.com/file/d/0Bxf6anvYj47HYnZqOXFWZHo2cWc/view?usp=sharing","Leja me nr. 05-351-30074")</f>
        <v>Leja me nr. 05-351-30074</v>
      </c>
      <c r="L11" s="11" t="str">
        <f>HYPERLINK("https://drive.google.com/file/d/0Bxf6anvYj47HRG5XY3BlSlc3b1k/view?usp=sharing","Situacioni")</f>
        <v>Situacioni</v>
      </c>
    </row>
    <row r="12" spans="1:12" ht="12.75" x14ac:dyDescent="0.2">
      <c r="A12" s="4">
        <v>6</v>
      </c>
      <c r="B12" s="5">
        <v>41231</v>
      </c>
      <c r="C12" s="6" t="s">
        <v>37</v>
      </c>
      <c r="D12" s="6" t="s">
        <v>38</v>
      </c>
      <c r="E12" s="6" t="s">
        <v>39</v>
      </c>
      <c r="F12" s="7" t="s">
        <v>40</v>
      </c>
      <c r="G12" s="35">
        <v>3357.5</v>
      </c>
      <c r="H12" s="41">
        <v>84739.91</v>
      </c>
      <c r="I12" s="6" t="s">
        <v>41</v>
      </c>
      <c r="J12" s="12" t="s">
        <v>17</v>
      </c>
      <c r="K12" s="11" t="str">
        <f>HYPERLINK("https://drive.google.com/file/d/0Bxf6anvYj47HU1l0Q3ZqbzhPN3c/view?usp=sharing","Leja me nr. 05-351-27339")</f>
        <v>Leja me nr. 05-351-27339</v>
      </c>
      <c r="L12" s="11" t="str">
        <f>HYPERLINK("https://drive.google.com/file/d/0Bxf6anvYj47HcW5oMnFDcUl1ZXc/view?usp=sharing","Situacioni")</f>
        <v>Situacioni</v>
      </c>
    </row>
    <row r="13" spans="1:12" ht="12.75" x14ac:dyDescent="0.2">
      <c r="A13" s="4">
        <v>7</v>
      </c>
      <c r="B13" s="5">
        <v>41230</v>
      </c>
      <c r="C13" s="6" t="s">
        <v>42</v>
      </c>
      <c r="D13" s="6" t="s">
        <v>42</v>
      </c>
      <c r="E13" s="6" t="s">
        <v>43</v>
      </c>
      <c r="F13" s="7" t="s">
        <v>35</v>
      </c>
      <c r="G13" s="36" t="s">
        <v>44</v>
      </c>
      <c r="H13" s="42" t="s">
        <v>45</v>
      </c>
      <c r="I13" s="6" t="s">
        <v>46</v>
      </c>
      <c r="J13" s="12" t="s">
        <v>47</v>
      </c>
      <c r="K13" s="11" t="str">
        <f>HYPERLINK("https://drive.google.com/file/d/0Bxf6anvYj47HeUlsdDZEWkRHZTQ/view?usp=sharing","Leja me nr. 05-351-41552")</f>
        <v>Leja me nr. 05-351-41552</v>
      </c>
      <c r="L13" s="11" t="str">
        <f>HYPERLINK("https://drive.google.com/file/d/0Bxf6anvYj47HRTNLNzRPNzlKMjA/view?usp=sharing","Situacioni")</f>
        <v>Situacioni</v>
      </c>
    </row>
    <row r="14" spans="1:12" ht="12.75" x14ac:dyDescent="0.2">
      <c r="A14" s="4">
        <v>8</v>
      </c>
      <c r="B14" s="5">
        <v>41225</v>
      </c>
      <c r="C14" s="6" t="s">
        <v>48</v>
      </c>
      <c r="D14" s="6" t="s">
        <v>48</v>
      </c>
      <c r="E14" s="6" t="s">
        <v>49</v>
      </c>
      <c r="F14" s="7" t="s">
        <v>15</v>
      </c>
      <c r="G14" s="35">
        <v>1011.99</v>
      </c>
      <c r="H14" s="41">
        <v>22176.45</v>
      </c>
      <c r="I14" s="6" t="s">
        <v>50</v>
      </c>
      <c r="J14" s="12" t="s">
        <v>17</v>
      </c>
      <c r="K14" s="16" t="str">
        <f>HYPERLINK("https://drive.google.com/file/d/0Bxf6anvYj47HUmwwdF9VOVJ3SVE/view?usp=sharing","Leja me nr. 05-351-32546")</f>
        <v>Leja me nr. 05-351-32546</v>
      </c>
      <c r="L14" s="11" t="str">
        <f>HYPERLINK("https://drive.google.com/file/d/0Bxf6anvYj47HVXlneG5rN0ZWcHc/view?usp=sharing","Situacioni")</f>
        <v>Situacioni</v>
      </c>
    </row>
    <row r="15" spans="1:12" ht="12.75" x14ac:dyDescent="0.2">
      <c r="A15" s="4">
        <v>9</v>
      </c>
      <c r="B15" s="5">
        <v>41212</v>
      </c>
      <c r="C15" s="6" t="s">
        <v>51</v>
      </c>
      <c r="D15" s="6" t="s">
        <v>51</v>
      </c>
      <c r="E15" s="6" t="s">
        <v>52</v>
      </c>
      <c r="F15" s="7" t="s">
        <v>53</v>
      </c>
      <c r="G15" s="36" t="s">
        <v>44</v>
      </c>
      <c r="H15" s="42" t="s">
        <v>45</v>
      </c>
      <c r="I15" s="6" t="s">
        <v>54</v>
      </c>
      <c r="J15" s="12" t="s">
        <v>55</v>
      </c>
      <c r="K15" s="13" t="str">
        <f>HYPERLINK("https://drive.google.com/file/d/0Bxf6anvYj47HRnVSM0JyZFRyWUk/view?usp=sharing","Leja me nr. 05-351-27844/1")</f>
        <v>Leja me nr. 05-351-27844/1</v>
      </c>
      <c r="L15" s="16" t="str">
        <f>HYPERLINK("https://drive.google.com/file/d/0Bxf6anvYj47HcVZSM3ZqbHJXN3M/view?usp=sharing","Situacioni")</f>
        <v>Situacioni</v>
      </c>
    </row>
    <row r="16" spans="1:12" ht="38.25" x14ac:dyDescent="0.2">
      <c r="A16" s="4">
        <v>10</v>
      </c>
      <c r="B16" s="5">
        <v>41212</v>
      </c>
      <c r="C16" s="6" t="s">
        <v>56</v>
      </c>
      <c r="D16" s="6" t="s">
        <v>56</v>
      </c>
      <c r="E16" s="6" t="s">
        <v>57</v>
      </c>
      <c r="F16" s="7" t="s">
        <v>58</v>
      </c>
      <c r="G16" s="35">
        <v>8005.1</v>
      </c>
      <c r="H16" s="41">
        <v>237986.56</v>
      </c>
      <c r="I16" s="6" t="s">
        <v>59</v>
      </c>
      <c r="J16" s="12" t="s">
        <v>17</v>
      </c>
      <c r="K16" s="11" t="str">
        <f>HYPERLINK("https://drive.google.com/file/d/0Bxf6anvYj47HMUtxUXp5S3YxMG8/view?usp=sharing","Leja me nr. 05-351-29028")</f>
        <v>Leja me nr. 05-351-29028</v>
      </c>
      <c r="L16" s="11" t="str">
        <f>HYPERLINK("https://drive.google.com/file/d/0Bxf6anvYj47HNFI4bkQyd0ZXQ0U/view?usp=sharing","Situacioni")</f>
        <v>Situacioni</v>
      </c>
    </row>
    <row r="17" spans="1:12" ht="12.75" x14ac:dyDescent="0.2">
      <c r="A17" s="4">
        <v>11</v>
      </c>
      <c r="B17" s="5">
        <v>41205</v>
      </c>
      <c r="C17" s="6" t="s">
        <v>60</v>
      </c>
      <c r="D17" s="6" t="s">
        <v>61</v>
      </c>
      <c r="E17" s="6" t="s">
        <v>62</v>
      </c>
      <c r="F17" s="7" t="s">
        <v>35</v>
      </c>
      <c r="G17" s="35">
        <v>4983.83</v>
      </c>
      <c r="H17" s="41">
        <v>129060.96</v>
      </c>
      <c r="I17" s="6" t="s">
        <v>63</v>
      </c>
      <c r="J17" s="12" t="s">
        <v>17</v>
      </c>
      <c r="K17" s="11" t="str">
        <f>HYPERLINK("https://drive.google.com/file/d/0Bxf6anvYj47HNVRtckxNb3lSX2c/view?usp=sharing","Leja me nr. 05-351-33555")</f>
        <v>Leja me nr. 05-351-33555</v>
      </c>
      <c r="L17" s="11" t="str">
        <f>HYPERLINK("https://drive.google.com/file/d/0Bxf6anvYj47HWFVmYms5b3VXVFE/view?usp=sharing","Situacioni")</f>
        <v>Situacioni</v>
      </c>
    </row>
    <row r="18" spans="1:12" ht="51" x14ac:dyDescent="0.2">
      <c r="A18" s="4">
        <v>12</v>
      </c>
      <c r="B18" s="5">
        <v>41204</v>
      </c>
      <c r="C18" s="17" t="s">
        <v>64</v>
      </c>
      <c r="D18" s="18" t="s">
        <v>65</v>
      </c>
      <c r="E18" s="6" t="s">
        <v>66</v>
      </c>
      <c r="F18" s="7" t="s">
        <v>40</v>
      </c>
      <c r="G18" s="35">
        <v>4521.6400000000003</v>
      </c>
      <c r="H18" s="41">
        <v>107592.11</v>
      </c>
      <c r="I18" s="6" t="s">
        <v>67</v>
      </c>
      <c r="J18" s="12" t="s">
        <v>17</v>
      </c>
      <c r="K18" s="11" t="str">
        <f>HYPERLINK("https://drive.google.com/file/d/0Bxf6anvYj47HNU0yNmszRVdBTW8/view?usp=sharing","Leja me nr. 05-351-28350")</f>
        <v>Leja me nr. 05-351-28350</v>
      </c>
      <c r="L18" s="19" t="str">
        <f>HYPERLINK("https://drive.google.com/file/d/0Bxf6anvYj47HUDFETXVHajVESTg/view?usp=sharing"," Situacioni")</f>
        <v xml:space="preserve"> Situacioni</v>
      </c>
    </row>
    <row r="19" spans="1:12" ht="38.25" x14ac:dyDescent="0.2">
      <c r="A19" s="4">
        <v>13</v>
      </c>
      <c r="B19" s="5">
        <v>41197</v>
      </c>
      <c r="C19" s="6" t="s">
        <v>68</v>
      </c>
      <c r="D19" s="6" t="s">
        <v>68</v>
      </c>
      <c r="E19" s="6" t="s">
        <v>69</v>
      </c>
      <c r="F19" s="7" t="s">
        <v>70</v>
      </c>
      <c r="G19" s="36" t="s">
        <v>44</v>
      </c>
      <c r="H19" s="42" t="s">
        <v>45</v>
      </c>
      <c r="I19" s="6" t="s">
        <v>71</v>
      </c>
      <c r="J19" s="12" t="s">
        <v>72</v>
      </c>
      <c r="K19" s="13" t="str">
        <f>HYPERLINK("https://drive.google.com/file/d/0Bxf6anvYj47HeHRYZm9DaDBsZW8/view?usp=sharing","Leja me nr. 05-351-35761")</f>
        <v>Leja me nr. 05-351-35761</v>
      </c>
      <c r="L19" s="14" t="s">
        <v>23</v>
      </c>
    </row>
    <row r="20" spans="1:12" ht="25.5" x14ac:dyDescent="0.2">
      <c r="A20" s="4">
        <v>14</v>
      </c>
      <c r="B20" s="5">
        <v>41193</v>
      </c>
      <c r="C20" s="6" t="s">
        <v>73</v>
      </c>
      <c r="D20" s="6" t="s">
        <v>73</v>
      </c>
      <c r="E20" s="6" t="s">
        <v>74</v>
      </c>
      <c r="F20" s="7" t="s">
        <v>75</v>
      </c>
      <c r="G20" s="35">
        <v>535.34</v>
      </c>
      <c r="H20" s="41">
        <v>5034.75</v>
      </c>
      <c r="I20" s="6" t="s">
        <v>31</v>
      </c>
      <c r="J20" s="12" t="s">
        <v>76</v>
      </c>
      <c r="K20" s="10" t="str">
        <f>HYPERLINK("https://drive.google.com/file/d/0Bxf6anvYj47HeFhBbXR5clA2QVE/view?usp=sharing","Leja me nr. 05-351-35329")</f>
        <v>Leja me nr. 05-351-35329</v>
      </c>
      <c r="L20" s="16" t="str">
        <f>HYPERLINK("https://drive.google.com/file/d/0Bxf6anvYj47HREprMGZJV2pRcWc/view?usp=sharing","Situacioni")</f>
        <v>Situacioni</v>
      </c>
    </row>
    <row r="21" spans="1:12" ht="25.5" x14ac:dyDescent="0.2">
      <c r="A21" s="4">
        <v>15</v>
      </c>
      <c r="B21" s="5">
        <v>41192</v>
      </c>
      <c r="C21" s="6" t="s">
        <v>77</v>
      </c>
      <c r="D21" s="6" t="s">
        <v>77</v>
      </c>
      <c r="E21" s="6" t="s">
        <v>78</v>
      </c>
      <c r="F21" s="7" t="s">
        <v>35</v>
      </c>
      <c r="G21" s="35">
        <v>5953.24</v>
      </c>
      <c r="H21" s="41">
        <v>175331.19</v>
      </c>
      <c r="I21" s="6" t="s">
        <v>79</v>
      </c>
      <c r="J21" s="12" t="s">
        <v>17</v>
      </c>
      <c r="K21" s="13" t="str">
        <f>HYPERLINK("https://drive.google.com/file/d/0Bxf6anvYj47HODNxQzdnVlFPTjA/view?usp=sharing","Leja me nr. 05-351-35233")</f>
        <v>Leja me nr. 05-351-35233</v>
      </c>
      <c r="L21" s="16" t="str">
        <f>HYPERLINK("https://drive.google.com/file/d/0Bxf6anvYj47HRERUVk9GZWpfWm8/view?usp=sharing","Situacioni")</f>
        <v>Situacioni</v>
      </c>
    </row>
    <row r="22" spans="1:12" ht="25.5" x14ac:dyDescent="0.2">
      <c r="A22" s="4">
        <v>16</v>
      </c>
      <c r="B22" s="5">
        <v>41192</v>
      </c>
      <c r="C22" s="6" t="s">
        <v>80</v>
      </c>
      <c r="D22" s="6" t="s">
        <v>80</v>
      </c>
      <c r="E22" s="6" t="s">
        <v>81</v>
      </c>
      <c r="F22" s="7" t="s">
        <v>82</v>
      </c>
      <c r="G22" s="35">
        <v>19483.97</v>
      </c>
      <c r="H22" s="41">
        <v>538976.36</v>
      </c>
      <c r="I22" s="6" t="s">
        <v>83</v>
      </c>
      <c r="J22" s="12" t="s">
        <v>17</v>
      </c>
      <c r="K22" s="11" t="str">
        <f>HYPERLINK("https://drive.google.com/file/d/0Bxf6anvYj47HX2xjRlpRQ0VueXc/view?usp=sharing","Leja me nr. 05-351-19494")</f>
        <v>Leja me nr. 05-351-19494</v>
      </c>
      <c r="L22" s="11" t="str">
        <f>HYPERLINK("https://drive.google.com/file/d/0Bxf6anvYj47HQXFrRUVSc3ZGSHc/view?usp=sharing","Situacioni")</f>
        <v>Situacioni</v>
      </c>
    </row>
    <row r="23" spans="1:12" ht="12.75" x14ac:dyDescent="0.2">
      <c r="A23" s="4">
        <v>17</v>
      </c>
      <c r="B23" s="5">
        <v>41191</v>
      </c>
      <c r="C23" s="6" t="s">
        <v>84</v>
      </c>
      <c r="D23" s="6" t="s">
        <v>84</v>
      </c>
      <c r="E23" s="6" t="s">
        <v>19</v>
      </c>
      <c r="F23" s="7" t="s">
        <v>20</v>
      </c>
      <c r="G23" s="34">
        <v>43.46</v>
      </c>
      <c r="H23" s="41">
        <v>2173</v>
      </c>
      <c r="I23" s="6" t="s">
        <v>21</v>
      </c>
      <c r="J23" s="12" t="s">
        <v>22</v>
      </c>
      <c r="K23" s="13" t="str">
        <f>HYPERLINK("https://drive.google.com/open?id=0Bxf6anvYj47HdWhJUVR1TGRoQjA","Leja me nr. 05-351-33810")</f>
        <v>Leja me nr. 05-351-33810</v>
      </c>
      <c r="L23" s="14" t="s">
        <v>23</v>
      </c>
    </row>
    <row r="24" spans="1:12" ht="38.25" x14ac:dyDescent="0.2">
      <c r="A24" s="4">
        <v>18</v>
      </c>
      <c r="B24" s="5">
        <v>41190</v>
      </c>
      <c r="C24" s="6" t="s">
        <v>85</v>
      </c>
      <c r="D24" s="6" t="s">
        <v>86</v>
      </c>
      <c r="E24" s="6" t="s">
        <v>86</v>
      </c>
      <c r="F24" s="7" t="s">
        <v>40</v>
      </c>
      <c r="G24" s="35">
        <v>4416.29</v>
      </c>
      <c r="H24" s="41">
        <v>100775.55</v>
      </c>
      <c r="I24" s="6" t="s">
        <v>87</v>
      </c>
      <c r="J24" s="12" t="s">
        <v>17</v>
      </c>
      <c r="K24" s="11" t="str">
        <f>HYPERLINK("https://drive.google.com/file/d/0Bxf6anvYj47HRTgxblhOTFR0am8/view?usp=sharing","Leja me nr. 05-351-12876")</f>
        <v>Leja me nr. 05-351-12876</v>
      </c>
      <c r="L24" s="11" t="str">
        <f>HYPERLINK("https://drive.google.com/file/d/0Bxf6anvYj47HUVFXMTdUc0Nfc1U/view?usp=sharing","Situacioni")</f>
        <v>Situacioni</v>
      </c>
    </row>
    <row r="25" spans="1:12" ht="25.5" x14ac:dyDescent="0.2">
      <c r="A25" s="4">
        <v>19</v>
      </c>
      <c r="B25" s="5">
        <v>41189</v>
      </c>
      <c r="C25" s="6" t="s">
        <v>88</v>
      </c>
      <c r="D25" s="6" t="s">
        <v>89</v>
      </c>
      <c r="E25" s="6" t="s">
        <v>90</v>
      </c>
      <c r="F25" s="7" t="s">
        <v>58</v>
      </c>
      <c r="G25" s="35">
        <v>3566.4</v>
      </c>
      <c r="H25" s="41">
        <v>113268.59</v>
      </c>
      <c r="I25" s="6" t="s">
        <v>87</v>
      </c>
      <c r="J25" s="12" t="s">
        <v>17</v>
      </c>
      <c r="K25" s="11" t="str">
        <f>HYPERLINK("https://drive.google.com/file/d/0Bxf6anvYj47HalFpNWJTanR1NW8/view?usp=sharing","Leja me nr. 05-351-30507")</f>
        <v>Leja me nr. 05-351-30507</v>
      </c>
      <c r="L25" s="11" t="str">
        <f>HYPERLINK("https://drive.google.com/file/d/0Bxf6anvYj47HWDdwQ2kwWFBxdms/view?usp=sharing","Situacioni")</f>
        <v>Situacioni</v>
      </c>
    </row>
    <row r="26" spans="1:12" ht="25.5" x14ac:dyDescent="0.2">
      <c r="A26" s="4">
        <v>20</v>
      </c>
      <c r="B26" s="5">
        <v>41186</v>
      </c>
      <c r="C26" s="6" t="s">
        <v>91</v>
      </c>
      <c r="D26" s="6" t="s">
        <v>92</v>
      </c>
      <c r="E26" s="20" t="s">
        <v>93</v>
      </c>
      <c r="F26" s="7" t="s">
        <v>58</v>
      </c>
      <c r="G26" s="35">
        <v>6415</v>
      </c>
      <c r="H26" s="41">
        <v>186195</v>
      </c>
      <c r="I26" s="6" t="s">
        <v>21</v>
      </c>
      <c r="J26" s="12" t="s">
        <v>17</v>
      </c>
      <c r="K26" s="11" t="str">
        <f>HYPERLINK("https://drive.google.com/file/d/0Bxf6anvYj47HM2pWMFM4V0NPeVU/view?usp=sharing","Leja me nr. 05-351-22630")</f>
        <v>Leja me nr. 05-351-22630</v>
      </c>
      <c r="L26" s="11" t="str">
        <f>HYPERLINK("https://drive.google.com/file/d/0Bxf6anvYj47HVVY0NXd2RVU3UE0/view?usp=sharing","Situacioni")</f>
        <v>Situacioni</v>
      </c>
    </row>
    <row r="27" spans="1:12" ht="12.75" x14ac:dyDescent="0.2">
      <c r="A27" s="4">
        <v>21</v>
      </c>
      <c r="B27" s="5">
        <v>41186</v>
      </c>
      <c r="C27" s="6" t="s">
        <v>94</v>
      </c>
      <c r="D27" s="6" t="s">
        <v>94</v>
      </c>
      <c r="E27" s="6" t="s">
        <v>95</v>
      </c>
      <c r="F27" s="7" t="s">
        <v>40</v>
      </c>
      <c r="G27" s="37">
        <v>6642.47</v>
      </c>
      <c r="H27" s="41">
        <v>213230.02</v>
      </c>
      <c r="I27" s="6" t="s">
        <v>96</v>
      </c>
      <c r="J27" s="12" t="s">
        <v>17</v>
      </c>
      <c r="K27" s="11" t="str">
        <f>HYPERLINK("https://drive.google.com/file/d/0Bxf6anvYj47HZC1nNDZpZnF4c2c/view?usp=sharing","Leja me nr. 05-351-26363")</f>
        <v>Leja me nr. 05-351-26363</v>
      </c>
      <c r="L27" s="11" t="str">
        <f>HYPERLINK("https://drive.google.com/file/d/0Bxf6anvYj47HOWVXWnh2aHFjeWs/view?usp=sharing","Situacioni")</f>
        <v>Situacioni</v>
      </c>
    </row>
    <row r="28" spans="1:12" ht="63.75" x14ac:dyDescent="0.2">
      <c r="A28" s="4">
        <v>22</v>
      </c>
      <c r="B28" s="5">
        <v>41185</v>
      </c>
      <c r="C28" s="6" t="s">
        <v>97</v>
      </c>
      <c r="D28" s="6" t="s">
        <v>97</v>
      </c>
      <c r="E28" s="6" t="s">
        <v>19</v>
      </c>
      <c r="F28" s="54" t="s">
        <v>58</v>
      </c>
      <c r="G28" s="35">
        <v>470.43</v>
      </c>
      <c r="H28" s="41">
        <v>13351.2</v>
      </c>
      <c r="I28" s="8" t="s">
        <v>98</v>
      </c>
      <c r="J28" s="12" t="s">
        <v>17</v>
      </c>
      <c r="K28" s="13" t="str">
        <f>HYPERLINK("https://drive.google.com/file/d/0Bxf6anvYj47HMFROMXFjSDBkT3c/view?usp=sharing","Leja me nr. 05-351-30624/1")</f>
        <v>Leja me nr. 05-351-30624/1</v>
      </c>
      <c r="L28" s="16" t="str">
        <f>HYPERLINK("https://drive.google.com/file/d/0Bxf6anvYj47Hekl3R010Q1N0TFU/view?usp=sharing","Situacioni")</f>
        <v>Situacioni</v>
      </c>
    </row>
    <row r="29" spans="1:12" ht="12.75" x14ac:dyDescent="0.2">
      <c r="A29" s="4">
        <v>23</v>
      </c>
      <c r="B29" s="5">
        <v>41184</v>
      </c>
      <c r="C29" s="6" t="s">
        <v>99</v>
      </c>
      <c r="D29" s="6" t="s">
        <v>99</v>
      </c>
      <c r="E29" s="6" t="s">
        <v>100</v>
      </c>
      <c r="F29" s="7" t="s">
        <v>101</v>
      </c>
      <c r="G29" s="35">
        <v>328.8</v>
      </c>
      <c r="H29" s="41">
        <v>3038.4</v>
      </c>
      <c r="I29" s="6" t="s">
        <v>31</v>
      </c>
      <c r="J29" s="12" t="s">
        <v>76</v>
      </c>
      <c r="K29" s="10" t="str">
        <f>HYPERLINK("https://drive.google.com/file/d/0Bxf6anvYj47Hdk1CSG5jZFVnWEE/view?usp=sharing","Leja me nr. 05-351-14612")</f>
        <v>Leja me nr. 05-351-14612</v>
      </c>
      <c r="L29" s="16" t="str">
        <f>HYPERLINK("https://drive.google.com/file/d/0Bxf6anvYj47HVzkxQjJGdDBmQXc/view?usp=sharing","Situacioni")</f>
        <v>Situacioni</v>
      </c>
    </row>
    <row r="30" spans="1:12" ht="38.25" x14ac:dyDescent="0.2">
      <c r="A30" s="4">
        <v>24</v>
      </c>
      <c r="B30" s="5">
        <v>41184</v>
      </c>
      <c r="C30" s="6" t="s">
        <v>102</v>
      </c>
      <c r="D30" s="20" t="s">
        <v>102</v>
      </c>
      <c r="E30" s="20" t="s">
        <v>103</v>
      </c>
      <c r="F30" s="7" t="s">
        <v>15</v>
      </c>
      <c r="G30" s="35">
        <v>1805</v>
      </c>
      <c r="H30" s="41">
        <v>49702.16</v>
      </c>
      <c r="I30" s="6" t="s">
        <v>104</v>
      </c>
      <c r="J30" s="12" t="s">
        <v>17</v>
      </c>
      <c r="K30" s="10" t="str">
        <f>HYPERLINK("https://drive.google.com/file/d/0Bxf6anvYj47HWXN0bHFLZjRnTGs/view?usp=sharing","Leja me nr. 05-351-19053")</f>
        <v>Leja me nr. 05-351-19053</v>
      </c>
      <c r="L30" s="16" t="str">
        <f>HYPERLINK("https://drive.google.com/file/d/0Bxf6anvYj47HeGp6bHUtaDFQbjQ/view?usp=sharing","Situacioni")</f>
        <v>Situacioni</v>
      </c>
    </row>
    <row r="31" spans="1:12" ht="51" x14ac:dyDescent="0.2">
      <c r="A31" s="4">
        <v>25</v>
      </c>
      <c r="B31" s="5">
        <v>41183</v>
      </c>
      <c r="C31" s="17" t="s">
        <v>64</v>
      </c>
      <c r="D31" s="6" t="s">
        <v>105</v>
      </c>
      <c r="E31" s="17" t="s">
        <v>106</v>
      </c>
      <c r="F31" s="7" t="s">
        <v>40</v>
      </c>
      <c r="G31" s="35">
        <v>5067.1000000000004</v>
      </c>
      <c r="H31" s="41">
        <v>125668.53</v>
      </c>
      <c r="I31" s="6" t="s">
        <v>67</v>
      </c>
      <c r="J31" s="9" t="s">
        <v>17</v>
      </c>
      <c r="K31" s="11" t="str">
        <f>HYPERLINK("https://drive.google.com/file/d/0Bxf6anvYj47HdTRldzQ2OTFmTnc/view?usp=sharing","Leja me nr. 05-351-32959")</f>
        <v>Leja me nr. 05-351-32959</v>
      </c>
      <c r="L31" s="11" t="str">
        <f>HYPERLINK("https://drive.google.com/file/d/0Bxf6anvYj47HSjJ2M2ZjbHl3QjA/view?usp=sharing","Situacioni")</f>
        <v>Situacioni</v>
      </c>
    </row>
    <row r="32" spans="1:12" ht="12.75" x14ac:dyDescent="0.2">
      <c r="A32" s="4">
        <v>26</v>
      </c>
      <c r="B32" s="5">
        <v>41183</v>
      </c>
      <c r="C32" s="6" t="s">
        <v>107</v>
      </c>
      <c r="D32" s="6" t="s">
        <v>108</v>
      </c>
      <c r="E32" s="6" t="s">
        <v>109</v>
      </c>
      <c r="F32" s="7" t="s">
        <v>82</v>
      </c>
      <c r="G32" s="38">
        <v>10400.129999999999</v>
      </c>
      <c r="H32" s="41">
        <v>462590.1</v>
      </c>
      <c r="I32" s="6" t="s">
        <v>110</v>
      </c>
      <c r="J32" s="12" t="s">
        <v>17</v>
      </c>
      <c r="K32" s="11" t="str">
        <f>HYPERLINK("https://drive.google.com/file/d/0Bxf6anvYj47HVGpJbzZ6a1dCVkk/view?usp=sharing","Leja mr nr. 05-351-17249")</f>
        <v>Leja mr nr. 05-351-17249</v>
      </c>
      <c r="L32" s="11" t="str">
        <f>HYPERLINK("https://drive.google.com/file/d/0Bxf6anvYj47HNWVHVlc4RmhnQVE/view?usp=sharing","Situacioni")</f>
        <v>Situacioni</v>
      </c>
    </row>
    <row r="33" spans="1:12" ht="12.75" x14ac:dyDescent="0.2">
      <c r="A33" s="4">
        <v>27</v>
      </c>
      <c r="B33" s="5">
        <v>41178</v>
      </c>
      <c r="C33" s="6" t="s">
        <v>111</v>
      </c>
      <c r="D33" s="6" t="s">
        <v>111</v>
      </c>
      <c r="E33" s="6" t="s">
        <v>19</v>
      </c>
      <c r="F33" s="7" t="s">
        <v>112</v>
      </c>
      <c r="G33" s="37">
        <v>61</v>
      </c>
      <c r="H33" s="41">
        <v>3189</v>
      </c>
      <c r="I33" s="6"/>
      <c r="J33" s="12" t="s">
        <v>22</v>
      </c>
      <c r="K33" s="13" t="str">
        <f>HYPERLINK("https://drive.google.com/file/d/0Bxf6anvYj47Hci1kSkk5ZGpDWlU/view?usp=sharing","Leja me nr. 05-351-28254")</f>
        <v>Leja me nr. 05-351-28254</v>
      </c>
      <c r="L33" s="14" t="s">
        <v>23</v>
      </c>
    </row>
    <row r="34" spans="1:12" ht="12.75" x14ac:dyDescent="0.2">
      <c r="A34" s="4">
        <v>28</v>
      </c>
      <c r="B34" s="5">
        <v>41178</v>
      </c>
      <c r="C34" s="6" t="s">
        <v>113</v>
      </c>
      <c r="D34" s="6" t="s">
        <v>113</v>
      </c>
      <c r="E34" s="6" t="s">
        <v>19</v>
      </c>
      <c r="F34" s="7" t="s">
        <v>40</v>
      </c>
      <c r="G34" s="35">
        <v>443.93</v>
      </c>
      <c r="H34" s="41">
        <v>3968.04</v>
      </c>
      <c r="I34" s="6" t="s">
        <v>31</v>
      </c>
      <c r="J34" s="12" t="s">
        <v>76</v>
      </c>
      <c r="K34" s="13" t="str">
        <f>HYPERLINK("https://drive.google.com/file/d/0Bxf6anvYj47HaExPUjd1NEpHNkE/view?usp=sharing","Leja me nr. 05-351-28414")</f>
        <v>Leja me nr. 05-351-28414</v>
      </c>
      <c r="L34" s="19" t="str">
        <f>HYPERLINK("https://drive.google.com/file/d/0Bxf6anvYj47HNE1SV2tJdVdjS3M/view?usp=sharing"," Situacioni")</f>
        <v xml:space="preserve"> Situacioni</v>
      </c>
    </row>
    <row r="35" spans="1:12" ht="12.75" x14ac:dyDescent="0.2">
      <c r="A35" s="4">
        <v>29</v>
      </c>
      <c r="B35" s="5">
        <v>41169</v>
      </c>
      <c r="C35" s="6" t="s">
        <v>114</v>
      </c>
      <c r="D35" s="6" t="s">
        <v>114</v>
      </c>
      <c r="E35" s="6" t="s">
        <v>115</v>
      </c>
      <c r="F35" s="7" t="s">
        <v>116</v>
      </c>
      <c r="G35" s="36" t="s">
        <v>44</v>
      </c>
      <c r="H35" s="42" t="s">
        <v>45</v>
      </c>
      <c r="I35" s="6" t="s">
        <v>46</v>
      </c>
      <c r="J35" s="12" t="s">
        <v>117</v>
      </c>
      <c r="K35" s="13" t="str">
        <f>HYPERLINK("https://drive.google.com/file/d/0Bxf6anvYj47HNFBiTzc3WWNsaFE/view?usp=sharing","Leja me nr. 05-351-31196")</f>
        <v>Leja me nr. 05-351-31196</v>
      </c>
      <c r="L35" s="16" t="str">
        <f>HYPERLINK("https://drive.google.com/file/d/0Bxf6anvYj47HS3dRY2pvYmE4eTQ/view?usp=sharing","Situacioni")</f>
        <v>Situacioni</v>
      </c>
    </row>
    <row r="36" spans="1:12" ht="25.5" x14ac:dyDescent="0.2">
      <c r="A36" s="4">
        <v>30</v>
      </c>
      <c r="B36" s="5">
        <v>41169</v>
      </c>
      <c r="C36" s="6" t="s">
        <v>118</v>
      </c>
      <c r="D36" s="20" t="s">
        <v>118</v>
      </c>
      <c r="E36" s="20"/>
      <c r="F36" s="7" t="s">
        <v>119</v>
      </c>
      <c r="G36" s="35">
        <v>86</v>
      </c>
      <c r="H36" s="42" t="s">
        <v>45</v>
      </c>
      <c r="I36" s="6" t="s">
        <v>71</v>
      </c>
      <c r="J36" s="6" t="s">
        <v>120</v>
      </c>
      <c r="K36" s="10" t="str">
        <f>HYPERLINK("https://drive.google.com/file/d/0Bxf6anvYj47Hb0VPbHhTQTJKbEk/view?usp=sharing","Leja me nr. 05-350-17167")</f>
        <v>Leja me nr. 05-350-17167</v>
      </c>
      <c r="L36" s="16" t="str">
        <f>HYPERLINK("https://drive.google.com/file/d/0Bxf6anvYj47HSTJKTEN5QXl4bUk/view?usp=sharing","Situacioni")</f>
        <v>Situacioni</v>
      </c>
    </row>
    <row r="37" spans="1:12" ht="25.5" x14ac:dyDescent="0.2">
      <c r="A37" s="4">
        <v>31</v>
      </c>
      <c r="B37" s="5">
        <v>41169</v>
      </c>
      <c r="C37" s="17" t="s">
        <v>121</v>
      </c>
      <c r="D37" s="17" t="s">
        <v>122</v>
      </c>
      <c r="E37" s="17" t="s">
        <v>123</v>
      </c>
      <c r="F37" s="7" t="s">
        <v>40</v>
      </c>
      <c r="G37" s="35">
        <v>2261.0500000000002</v>
      </c>
      <c r="H37" s="41" t="s">
        <v>124</v>
      </c>
      <c r="I37" s="6" t="s">
        <v>125</v>
      </c>
      <c r="J37" s="12" t="s">
        <v>17</v>
      </c>
      <c r="K37" s="11" t="str">
        <f>HYPERLINK("https://drive.google.com/file/d/0Bxf6anvYj47Hemp6U3dibzd2QW8/view?usp=sharing","Leja me nr, 05-351-27513")</f>
        <v>Leja me nr, 05-351-27513</v>
      </c>
      <c r="L37" s="11" t="str">
        <f>HYPERLINK("https://drive.google.com/file/d/0Bxf6anvYj47HZDEyUmdkcXk5dlE/view?usp=sharing","Situacioni")</f>
        <v>Situacioni</v>
      </c>
    </row>
    <row r="38" spans="1:12" ht="12.75" x14ac:dyDescent="0.2">
      <c r="A38" s="4">
        <v>32</v>
      </c>
      <c r="B38" s="5">
        <v>41169</v>
      </c>
      <c r="C38" s="17" t="s">
        <v>126</v>
      </c>
      <c r="D38" s="17" t="s">
        <v>127</v>
      </c>
      <c r="E38" s="17" t="s">
        <v>128</v>
      </c>
      <c r="F38" s="7" t="s">
        <v>40</v>
      </c>
      <c r="G38" s="35">
        <v>2902.64</v>
      </c>
      <c r="H38" s="41">
        <v>93867.6</v>
      </c>
      <c r="I38" s="17" t="s">
        <v>129</v>
      </c>
      <c r="J38" s="12" t="s">
        <v>17</v>
      </c>
      <c r="K38" s="11" t="str">
        <f>HYPERLINK("https://drive.google.com/file/d/0Bxf6anvYj47HdlJrV1NNNjE2NEU/view?usp=sharing","Leja me nr. 05-351-28549")</f>
        <v>Leja me nr. 05-351-28549</v>
      </c>
      <c r="L38" s="11" t="str">
        <f>HYPERLINK("https://drive.google.com/file/d/0Bxf6anvYj47HQjRKNnkzT09QVHM/view?usp=sharing","Situacioni")</f>
        <v>Situacioni</v>
      </c>
    </row>
    <row r="39" spans="1:12" ht="12.75" x14ac:dyDescent="0.2">
      <c r="A39" s="4">
        <v>33</v>
      </c>
      <c r="B39" s="5">
        <v>41162</v>
      </c>
      <c r="C39" s="6" t="s">
        <v>130</v>
      </c>
      <c r="D39" s="6" t="s">
        <v>130</v>
      </c>
      <c r="E39" s="6" t="s">
        <v>19</v>
      </c>
      <c r="F39" s="7" t="s">
        <v>15</v>
      </c>
      <c r="G39" s="35">
        <v>113.813</v>
      </c>
      <c r="H39" s="41">
        <v>657.976</v>
      </c>
      <c r="I39" s="6" t="s">
        <v>71</v>
      </c>
      <c r="J39" s="12" t="s">
        <v>76</v>
      </c>
      <c r="K39" s="10" t="str">
        <f>HYPERLINK("https://drive.google.com/file/d/0Bxf6anvYj47HemRWSC1raklXd28/view?usp=sharing","Leja me nr. 05-351-28355")</f>
        <v>Leja me nr. 05-351-28355</v>
      </c>
      <c r="L39" s="16" t="str">
        <f>HYPERLINK("https://drive.google.com/file/d/0Bxf6anvYj47HckE4WWJsT3ZYRzA/view?usp=sharing","Situacioni")</f>
        <v>Situacioni</v>
      </c>
    </row>
    <row r="40" spans="1:12" ht="12.75" x14ac:dyDescent="0.2">
      <c r="A40" s="4">
        <v>34</v>
      </c>
      <c r="B40" s="5">
        <v>41158</v>
      </c>
      <c r="C40" s="6" t="s">
        <v>131</v>
      </c>
      <c r="D40" s="6" t="s">
        <v>131</v>
      </c>
      <c r="E40" s="6" t="s">
        <v>19</v>
      </c>
      <c r="F40" s="7" t="s">
        <v>132</v>
      </c>
      <c r="G40" s="35">
        <v>57</v>
      </c>
      <c r="H40" s="41">
        <v>684</v>
      </c>
      <c r="I40" s="6" t="s">
        <v>71</v>
      </c>
      <c r="J40" s="12" t="s">
        <v>76</v>
      </c>
      <c r="K40" s="10" t="str">
        <f>HYPERLINK("https://drive.google.com/file/d/0Bxf6anvYj47HWUFQMXU0M2tBQlU/view?usp=sharing","Leja me nr. 05-351-28729")</f>
        <v>Leja me nr. 05-351-28729</v>
      </c>
      <c r="L40" s="16" t="str">
        <f>HYPERLINK("https://drive.google.com/file/d/0Bxf6anvYj47HZDNMcmdicS1ROEU/view?usp=sharing","Situacioni")</f>
        <v>Situacioni</v>
      </c>
    </row>
    <row r="41" spans="1:12" ht="12.75" x14ac:dyDescent="0.2">
      <c r="A41" s="4">
        <v>35</v>
      </c>
      <c r="B41" s="5">
        <v>41155</v>
      </c>
      <c r="C41" s="6" t="s">
        <v>133</v>
      </c>
      <c r="D41" s="6" t="s">
        <v>133</v>
      </c>
      <c r="E41" s="6" t="s">
        <v>134</v>
      </c>
      <c r="F41" s="7" t="s">
        <v>135</v>
      </c>
      <c r="G41" s="35">
        <v>313.42</v>
      </c>
      <c r="H41" s="41">
        <v>4861.42</v>
      </c>
      <c r="I41" s="6" t="s">
        <v>136</v>
      </c>
      <c r="J41" s="12" t="s">
        <v>76</v>
      </c>
      <c r="K41" s="10" t="str">
        <f>HYPERLINK("https://drive.google.com/file/d/0Bxf6anvYj47HQmY2UlhoeXR6S0k/view?usp=sharing","Leja me nr. 05-351-27733")</f>
        <v>Leja me nr. 05-351-27733</v>
      </c>
      <c r="L41" s="16" t="str">
        <f>HYPERLINK("https://drive.google.com/file/d/0Bxf6anvYj47HNmR0V1dwS2tiUFE/view?usp=sharing","Situacioni")</f>
        <v>Situacioni</v>
      </c>
    </row>
    <row r="42" spans="1:12" ht="38.25" x14ac:dyDescent="0.2">
      <c r="A42" s="4">
        <v>36</v>
      </c>
      <c r="B42" s="5">
        <v>41142</v>
      </c>
      <c r="C42" s="6" t="s">
        <v>137</v>
      </c>
      <c r="D42" s="6" t="s">
        <v>138</v>
      </c>
      <c r="E42" s="6" t="s">
        <v>139</v>
      </c>
      <c r="F42" s="7" t="s">
        <v>58</v>
      </c>
      <c r="G42" s="35">
        <v>9893.7800000000007</v>
      </c>
      <c r="H42" s="41">
        <v>256629.02</v>
      </c>
      <c r="I42" s="6" t="s">
        <v>140</v>
      </c>
      <c r="J42" s="12" t="s">
        <v>17</v>
      </c>
      <c r="K42" s="11" t="str">
        <f>HYPERLINK("https://drive.google.com/file/d/0Bxf6anvYj47HZW5FNUpXX3F2WHM/view?usp=sharing","Leja me nr, 05-351-19435")</f>
        <v>Leja me nr, 05-351-19435</v>
      </c>
      <c r="L42" s="11" t="str">
        <f>HYPERLINK("https://drive.google.com/file/d/0Bxf6anvYj47HWmZid3dYQUFCTms/view?usp=sharing","Situacioni")</f>
        <v>Situacioni</v>
      </c>
    </row>
    <row r="43" spans="1:12" ht="12.75" x14ac:dyDescent="0.2">
      <c r="A43" s="4">
        <v>37</v>
      </c>
      <c r="B43" s="5">
        <v>41139</v>
      </c>
      <c r="C43" s="6" t="s">
        <v>141</v>
      </c>
      <c r="D43" s="6" t="s">
        <v>142</v>
      </c>
      <c r="E43" s="20" t="s">
        <v>143</v>
      </c>
      <c r="F43" s="7" t="s">
        <v>35</v>
      </c>
      <c r="G43" s="35">
        <v>4013.84</v>
      </c>
      <c r="H43" s="41">
        <v>876</v>
      </c>
      <c r="I43" s="6" t="s">
        <v>87</v>
      </c>
      <c r="J43" s="12" t="s">
        <v>17</v>
      </c>
      <c r="K43" s="11" t="str">
        <f>HYPERLINK("https://drive.google.com/file/d/0Bxf6anvYj47HSnAtWWpjTDQ0MFU/view?usp=sharing","Leja me nr. 05-351-25905")</f>
        <v>Leja me nr. 05-351-25905</v>
      </c>
      <c r="L43" s="14" t="s">
        <v>23</v>
      </c>
    </row>
    <row r="44" spans="1:12" ht="12.75" x14ac:dyDescent="0.2">
      <c r="A44" s="4">
        <v>38</v>
      </c>
      <c r="B44" s="5">
        <v>41137</v>
      </c>
      <c r="C44" s="6" t="s">
        <v>144</v>
      </c>
      <c r="D44" s="6" t="s">
        <v>144</v>
      </c>
      <c r="E44" s="6" t="s">
        <v>145</v>
      </c>
      <c r="F44" s="7" t="s">
        <v>40</v>
      </c>
      <c r="G44" s="35">
        <v>414.9</v>
      </c>
      <c r="H44" s="41">
        <v>4138.8</v>
      </c>
      <c r="I44" s="6" t="s">
        <v>146</v>
      </c>
      <c r="J44" s="12" t="s">
        <v>76</v>
      </c>
      <c r="K44" s="13" t="str">
        <f>HYPERLINK("https://drive.google.com/file/d/0Bxf6anvYj47HU2RGX0xkWTZXRVE/view?usp=sharing","Leja me nr. 05-351-27482")</f>
        <v>Leja me nr. 05-351-27482</v>
      </c>
      <c r="L44" s="16" t="str">
        <f>HYPERLINK("https://drive.google.com/file/d/0Bxf6anvYj47HdV8zZzBKd1llbFU/view?usp=sharing","Situacioni")</f>
        <v>Situacioni</v>
      </c>
    </row>
    <row r="45" spans="1:12" ht="12.75" x14ac:dyDescent="0.2">
      <c r="A45" s="4">
        <v>39</v>
      </c>
      <c r="B45" s="5">
        <v>41135</v>
      </c>
      <c r="C45" s="6" t="s">
        <v>147</v>
      </c>
      <c r="D45" s="6" t="s">
        <v>148</v>
      </c>
      <c r="E45" s="6" t="s">
        <v>149</v>
      </c>
      <c r="F45" s="7" t="s">
        <v>15</v>
      </c>
      <c r="G45" s="35">
        <v>2891.51</v>
      </c>
      <c r="H45" s="41">
        <v>74734.720000000001</v>
      </c>
      <c r="I45" s="6" t="s">
        <v>125</v>
      </c>
      <c r="J45" s="12" t="s">
        <v>17</v>
      </c>
      <c r="K45" s="11" t="str">
        <f>HYPERLINK("https://drive.google.com/file/d/0Bxf6anvYj47HYWNHOXVzQzRvRUE/view?usp=sharing","Leja me nr. 05-351-18060")</f>
        <v>Leja me nr. 05-351-18060</v>
      </c>
      <c r="L45" s="11" t="str">
        <f>HYPERLINK("https://drive.google.com/file/d/0Bxf6anvYj47HWmFZb1BGcFF4SFk/view?usp=sharing","Situacioni")</f>
        <v>Situacioni</v>
      </c>
    </row>
    <row r="46" spans="1:12" ht="25.5" x14ac:dyDescent="0.2">
      <c r="A46" s="4">
        <v>40</v>
      </c>
      <c r="B46" s="5">
        <v>41131</v>
      </c>
      <c r="C46" s="6" t="s">
        <v>150</v>
      </c>
      <c r="D46" s="6" t="s">
        <v>150</v>
      </c>
      <c r="E46" s="6" t="s">
        <v>151</v>
      </c>
      <c r="F46" s="7" t="s">
        <v>152</v>
      </c>
      <c r="G46" s="36" t="s">
        <v>44</v>
      </c>
      <c r="H46" s="42" t="s">
        <v>45</v>
      </c>
      <c r="I46" s="6" t="s">
        <v>71</v>
      </c>
      <c r="J46" s="12" t="s">
        <v>117</v>
      </c>
      <c r="K46" s="13" t="str">
        <f>HYPERLINK("https://drive.google.com/file/d/0Bxf6anvYj47HVUMwQ0k1TzZzYWM/view?usp=sharing","Leja me nr. 05-351-26880")</f>
        <v>Leja me nr. 05-351-26880</v>
      </c>
      <c r="L46" s="14" t="s">
        <v>23</v>
      </c>
    </row>
    <row r="47" spans="1:12" ht="12.75" x14ac:dyDescent="0.2">
      <c r="A47" s="4">
        <v>41</v>
      </c>
      <c r="B47" s="5">
        <v>41130</v>
      </c>
      <c r="C47" s="6" t="s">
        <v>153</v>
      </c>
      <c r="D47" s="6" t="s">
        <v>153</v>
      </c>
      <c r="E47" s="21" t="s">
        <v>154</v>
      </c>
      <c r="F47" s="7" t="s">
        <v>82</v>
      </c>
      <c r="G47" s="35">
        <v>10368.700000000001</v>
      </c>
      <c r="H47" s="41">
        <v>502230</v>
      </c>
      <c r="I47" s="6" t="s">
        <v>155</v>
      </c>
      <c r="J47" s="12" t="s">
        <v>156</v>
      </c>
      <c r="K47" s="11" t="str">
        <f>HYPERLINK("https://drive.google.com/file/d/0Bxf6anvYj47HSThLUnJwckUtTkk/view?usp=sharing","Leja me nr. 05-351-17910")</f>
        <v>Leja me nr. 05-351-17910</v>
      </c>
      <c r="L47" s="16" t="str">
        <f>HYPERLINK("https://drive.google.com/file/d/0Bxf6anvYj47HQ1RubUk5SEYtamM/view?usp=sharing","Situacioni")</f>
        <v>Situacioni</v>
      </c>
    </row>
    <row r="48" spans="1:12" ht="12.75" x14ac:dyDescent="0.2">
      <c r="A48" s="4">
        <v>42</v>
      </c>
      <c r="B48" s="5">
        <v>41128</v>
      </c>
      <c r="C48" s="6" t="s">
        <v>150</v>
      </c>
      <c r="D48" s="6" t="s">
        <v>150</v>
      </c>
      <c r="E48" s="20" t="s">
        <v>157</v>
      </c>
      <c r="F48" s="7" t="s">
        <v>158</v>
      </c>
      <c r="G48" s="37">
        <v>630</v>
      </c>
      <c r="H48" s="42" t="s">
        <v>45</v>
      </c>
      <c r="I48" s="6" t="s">
        <v>31</v>
      </c>
      <c r="J48" s="12" t="s">
        <v>117</v>
      </c>
      <c r="K48" s="13" t="str">
        <f>HYPERLINK("https://drive.google.com/file/d/0Bxf6anvYj47HWXVPRk5vQzF6STA/view?usp=sharing","Leja me nr. 05-351-26322")</f>
        <v>Leja me nr. 05-351-26322</v>
      </c>
      <c r="L48" s="16" t="str">
        <f>HYPERLINK("https://drive.google.com/file/d/0Bxf6anvYj47HM2VRNjVvUm5xTGc/view?usp=sharing","Situacioni")</f>
        <v>Situacioni</v>
      </c>
    </row>
    <row r="49" spans="1:12" ht="12.75" x14ac:dyDescent="0.2">
      <c r="A49" s="4">
        <v>43</v>
      </c>
      <c r="B49" s="5">
        <v>41128</v>
      </c>
      <c r="C49" s="6" t="s">
        <v>150</v>
      </c>
      <c r="D49" s="6" t="s">
        <v>150</v>
      </c>
      <c r="E49" s="6" t="s">
        <v>159</v>
      </c>
      <c r="F49" s="7" t="s">
        <v>135</v>
      </c>
      <c r="G49" s="37">
        <v>4075</v>
      </c>
      <c r="H49" s="42" t="s">
        <v>45</v>
      </c>
      <c r="I49" s="6" t="s">
        <v>71</v>
      </c>
      <c r="J49" s="12" t="s">
        <v>117</v>
      </c>
      <c r="K49" s="13" t="str">
        <f>HYPERLINK("https://drive.google.com/file/d/0Bxf6anvYj47HSXFJVHZzQnByelE/view?usp=sharing","Leja me nr. 05-351-26321")</f>
        <v>Leja me nr. 05-351-26321</v>
      </c>
      <c r="L49" s="16" t="str">
        <f>HYPERLINK("https://drive.google.com/file/d/0Bxf6anvYj47HSmhvUjV5dDNwMkk/view?usp=sharing","Situacioni")</f>
        <v>Situacioni</v>
      </c>
    </row>
    <row r="50" spans="1:12" ht="12.75" x14ac:dyDescent="0.2">
      <c r="A50" s="4">
        <v>44</v>
      </c>
      <c r="B50" s="5">
        <v>41124</v>
      </c>
      <c r="C50" s="6" t="s">
        <v>160</v>
      </c>
      <c r="D50" s="6" t="s">
        <v>160</v>
      </c>
      <c r="E50" s="17" t="s">
        <v>128</v>
      </c>
      <c r="F50" s="7" t="s">
        <v>112</v>
      </c>
      <c r="G50" s="35">
        <v>4025.85</v>
      </c>
      <c r="H50" s="41">
        <v>102867.25</v>
      </c>
      <c r="I50" s="6" t="s">
        <v>161</v>
      </c>
      <c r="J50" s="12" t="s">
        <v>17</v>
      </c>
      <c r="K50" s="11" t="str">
        <f>HYPERLINK("https://drive.google.com/file/d/0Bxf6anvYj47HVXRmUmVkcHk5SEE/view?usp=sharing","Leja me nr. 05-351-19072")</f>
        <v>Leja me nr. 05-351-19072</v>
      </c>
      <c r="L50" s="14" t="s">
        <v>23</v>
      </c>
    </row>
    <row r="51" spans="1:12" ht="12.75" x14ac:dyDescent="0.2">
      <c r="A51" s="4">
        <v>45</v>
      </c>
      <c r="B51" s="5">
        <v>41124</v>
      </c>
      <c r="C51" s="6" t="s">
        <v>162</v>
      </c>
      <c r="D51" s="22" t="s">
        <v>163</v>
      </c>
      <c r="E51" s="6" t="s">
        <v>164</v>
      </c>
      <c r="F51" s="7" t="s">
        <v>40</v>
      </c>
      <c r="G51" s="35">
        <v>3639.5</v>
      </c>
      <c r="H51" s="41">
        <v>95530.81</v>
      </c>
      <c r="I51" s="6" t="s">
        <v>96</v>
      </c>
      <c r="J51" s="12" t="s">
        <v>17</v>
      </c>
      <c r="K51" s="11" t="str">
        <f>HYPERLINK("https://drive.google.com/file/d/0Bxf6anvYj47HSWlNRGxBUW5ZbXM/view?usp=sharing","Leja me nr. 05-351-22285")</f>
        <v>Leja me nr. 05-351-22285</v>
      </c>
      <c r="L51" s="11" t="str">
        <f>HYPERLINK("https://drive.google.com/file/d/0Bxf6anvYj47HZGdYcmVQSjJvYWc/view?usp=sharing","Situacioni")</f>
        <v>Situacioni</v>
      </c>
    </row>
    <row r="52" spans="1:12" ht="12.75" x14ac:dyDescent="0.2">
      <c r="A52" s="4">
        <v>46</v>
      </c>
      <c r="B52" s="5">
        <v>41121</v>
      </c>
      <c r="C52" s="6" t="s">
        <v>165</v>
      </c>
      <c r="D52" s="6" t="s">
        <v>165</v>
      </c>
      <c r="E52" s="6" t="s">
        <v>166</v>
      </c>
      <c r="F52" s="7" t="s">
        <v>167</v>
      </c>
      <c r="G52" s="35">
        <v>463.67</v>
      </c>
      <c r="H52" s="41">
        <v>8189.81</v>
      </c>
      <c r="I52" s="6" t="s">
        <v>46</v>
      </c>
      <c r="J52" s="12" t="s">
        <v>168</v>
      </c>
      <c r="K52" s="13" t="str">
        <f>HYPERLINK("https://drive.google.com/file/d/0Bxf6anvYj47HSFY4cEJJeHFzYkU/view?usp=sharing","Leja me nr. 05-351-25677")</f>
        <v>Leja me nr. 05-351-25677</v>
      </c>
      <c r="L52" s="16" t="str">
        <f>HYPERLINK("https://drive.google.com/file/d/0Bxf6anvYj47HWDBKTnVLbVFZR1E/view?usp=sharing","Situacioni")</f>
        <v>Situacioni</v>
      </c>
    </row>
    <row r="53" spans="1:12" ht="12.75" x14ac:dyDescent="0.2">
      <c r="A53" s="4">
        <v>47</v>
      </c>
      <c r="B53" s="5">
        <v>41117</v>
      </c>
      <c r="C53" s="6" t="s">
        <v>169</v>
      </c>
      <c r="D53" s="6" t="s">
        <v>169</v>
      </c>
      <c r="E53" s="6" t="s">
        <v>19</v>
      </c>
      <c r="F53" s="7" t="s">
        <v>170</v>
      </c>
      <c r="G53" s="35">
        <v>296.83999999999997</v>
      </c>
      <c r="H53" s="41">
        <v>4592.8</v>
      </c>
      <c r="I53" s="6" t="s">
        <v>31</v>
      </c>
      <c r="J53" s="12" t="s">
        <v>76</v>
      </c>
      <c r="K53" s="13" t="str">
        <f>HYPERLINK("https://drive.google.com/file/d/0Bxf6anvYj47HN3VzUGRYdHY3VVk/view?usp=sharing","Leja me nr. 05-351-21630")</f>
        <v>Leja me nr. 05-351-21630</v>
      </c>
      <c r="L53" s="16" t="str">
        <f>HYPERLINK("https://drive.google.com/file/d/0Bxf6anvYj47HRnF5a3FsejhKT3M/view?usp=sharing","Situacioni")</f>
        <v>Situacioni</v>
      </c>
    </row>
    <row r="54" spans="1:12" ht="25.5" x14ac:dyDescent="0.2">
      <c r="A54" s="4">
        <v>48</v>
      </c>
      <c r="B54" s="5">
        <v>41110</v>
      </c>
      <c r="C54" s="6" t="s">
        <v>171</v>
      </c>
      <c r="D54" s="21" t="s">
        <v>171</v>
      </c>
      <c r="E54" s="6" t="s">
        <v>81</v>
      </c>
      <c r="F54" s="7" t="s">
        <v>172</v>
      </c>
      <c r="G54" s="36" t="s">
        <v>44</v>
      </c>
      <c r="H54" s="42" t="s">
        <v>45</v>
      </c>
      <c r="I54" s="15" t="s">
        <v>54</v>
      </c>
      <c r="J54" s="12" t="s">
        <v>173</v>
      </c>
      <c r="K54" s="13" t="str">
        <f>HYPERLINK("https://drive.google.com/file/d/0Bxf6anvYj47HSW5sY2tmaGoweFU/view?usp=sharing","Leja me nr. 05-351-24263")</f>
        <v>Leja me nr. 05-351-24263</v>
      </c>
      <c r="L54" s="14" t="s">
        <v>23</v>
      </c>
    </row>
    <row r="55" spans="1:12" ht="12.75" x14ac:dyDescent="0.2">
      <c r="A55" s="4">
        <v>49</v>
      </c>
      <c r="B55" s="5">
        <v>41106</v>
      </c>
      <c r="C55" s="6" t="s">
        <v>174</v>
      </c>
      <c r="D55" s="6" t="s">
        <v>174</v>
      </c>
      <c r="E55" s="6" t="s">
        <v>19</v>
      </c>
      <c r="F55" s="7" t="s">
        <v>175</v>
      </c>
      <c r="G55" s="35">
        <v>44.21</v>
      </c>
      <c r="H55" s="41">
        <v>5458</v>
      </c>
      <c r="I55" s="6" t="s">
        <v>136</v>
      </c>
      <c r="J55" s="12" t="s">
        <v>22</v>
      </c>
      <c r="K55" s="13" t="str">
        <f>HYPERLINK("https://drive.google.com/open?id=0Bxf6anvYj47HczNhM1dBTlZOUTg","Leja me nr. 05-351-11518")</f>
        <v>Leja me nr. 05-351-11518</v>
      </c>
      <c r="L55" s="14" t="s">
        <v>23</v>
      </c>
    </row>
    <row r="56" spans="1:12" ht="12.75" x14ac:dyDescent="0.2">
      <c r="A56" s="4">
        <v>50</v>
      </c>
      <c r="B56" s="5">
        <v>41106</v>
      </c>
      <c r="C56" s="6" t="s">
        <v>176</v>
      </c>
      <c r="D56" s="6" t="s">
        <v>176</v>
      </c>
      <c r="E56" s="6" t="s">
        <v>177</v>
      </c>
      <c r="F56" s="7" t="s">
        <v>178</v>
      </c>
      <c r="G56" s="35">
        <v>360.7</v>
      </c>
      <c r="H56" s="41">
        <v>6945.16</v>
      </c>
      <c r="I56" s="6" t="s">
        <v>146</v>
      </c>
      <c r="J56" s="12" t="s">
        <v>76</v>
      </c>
      <c r="K56" s="13" t="str">
        <f>HYPERLINK("https://drive.google.com/file/d/0Bxf6anvYj47HbGQybU1DYmlneWM/view?usp=sharing","Leja me nr. 05-351-14252")</f>
        <v>Leja me nr. 05-351-14252</v>
      </c>
      <c r="L56" s="16" t="str">
        <f>HYPERLINK("https://drive.google.com/file/d/0Bxf6anvYj47HS05RdlhEV3VnZkk/view?usp=sharing","Situacioni")</f>
        <v>Situacioni</v>
      </c>
    </row>
    <row r="57" spans="1:12" ht="12.75" x14ac:dyDescent="0.2">
      <c r="A57" s="4">
        <v>51</v>
      </c>
      <c r="B57" s="5">
        <v>41103</v>
      </c>
      <c r="C57" s="6" t="s">
        <v>179</v>
      </c>
      <c r="D57" s="6" t="s">
        <v>179</v>
      </c>
      <c r="E57" s="6" t="s">
        <v>19</v>
      </c>
      <c r="F57" s="7" t="s">
        <v>112</v>
      </c>
      <c r="G57" s="35">
        <v>82.48</v>
      </c>
      <c r="H57" s="41">
        <v>4227.5</v>
      </c>
      <c r="I57" s="6" t="s">
        <v>136</v>
      </c>
      <c r="J57" s="12" t="s">
        <v>22</v>
      </c>
      <c r="K57" s="13" t="str">
        <f>HYPERLINK("https://drive.google.com/open?id=0Bxf6anvYj47HUzBjUTFDanZndlE","Leja me nr. 05-351-21340")</f>
        <v>Leja me nr. 05-351-21340</v>
      </c>
      <c r="L57" s="14" t="s">
        <v>23</v>
      </c>
    </row>
    <row r="58" spans="1:12" ht="12.75" x14ac:dyDescent="0.2">
      <c r="A58" s="4">
        <v>52</v>
      </c>
      <c r="B58" s="5">
        <v>41102</v>
      </c>
      <c r="C58" s="6" t="s">
        <v>180</v>
      </c>
      <c r="D58" s="6" t="s">
        <v>180</v>
      </c>
      <c r="E58" s="6" t="s">
        <v>19</v>
      </c>
      <c r="F58" s="7" t="s">
        <v>181</v>
      </c>
      <c r="G58" s="35">
        <v>256.83999999999997</v>
      </c>
      <c r="H58" s="41">
        <v>2169.96</v>
      </c>
      <c r="I58" s="6" t="s">
        <v>31</v>
      </c>
      <c r="J58" s="9" t="s">
        <v>76</v>
      </c>
      <c r="K58" s="13" t="str">
        <f>HYPERLINK("https://drive.google.com/file/d/0Bxf6anvYj47HeGN3S1U2ZmRUWmc/view?usp=sharing","Leja me nr. 05-351-21430")</f>
        <v>Leja me nr. 05-351-21430</v>
      </c>
      <c r="L58" s="14" t="s">
        <v>23</v>
      </c>
    </row>
    <row r="59" spans="1:12" ht="25.5" x14ac:dyDescent="0.2">
      <c r="A59" s="4">
        <v>53</v>
      </c>
      <c r="B59" s="5">
        <v>41101</v>
      </c>
      <c r="C59" s="6" t="s">
        <v>182</v>
      </c>
      <c r="D59" s="6" t="s">
        <v>183</v>
      </c>
      <c r="E59" s="6" t="s">
        <v>93</v>
      </c>
      <c r="F59" s="7" t="s">
        <v>82</v>
      </c>
      <c r="G59" s="35">
        <v>3918.92</v>
      </c>
      <c r="H59" s="41">
        <v>162766</v>
      </c>
      <c r="I59" s="6" t="s">
        <v>96</v>
      </c>
      <c r="J59" s="12" t="s">
        <v>156</v>
      </c>
      <c r="K59" s="11" t="str">
        <f>HYPERLINK("https://drive.google.com/file/d/0Bxf6anvYj47HM01WTkFKUmZaY2c/view?usp=sharing","Leja me nr. 05-351-19274")</f>
        <v>Leja me nr. 05-351-19274</v>
      </c>
      <c r="L59" s="11" t="str">
        <f>HYPERLINK("https://drive.google.com/file/d/0Bxf6anvYj47HSFhIaDNTaVotNU0/view?usp=sharing","Situacioni")</f>
        <v>Situacioni</v>
      </c>
    </row>
    <row r="60" spans="1:12" ht="25.5" x14ac:dyDescent="0.2">
      <c r="A60" s="4">
        <v>54</v>
      </c>
      <c r="B60" s="5">
        <v>41100</v>
      </c>
      <c r="C60" s="6" t="s">
        <v>184</v>
      </c>
      <c r="D60" s="6" t="s">
        <v>184</v>
      </c>
      <c r="E60" s="6" t="s">
        <v>19</v>
      </c>
      <c r="F60" s="7" t="s">
        <v>20</v>
      </c>
      <c r="G60" s="35">
        <v>449.02</v>
      </c>
      <c r="H60" s="41">
        <v>4703.6400000000003</v>
      </c>
      <c r="I60" s="6" t="s">
        <v>46</v>
      </c>
      <c r="J60" s="12" t="s">
        <v>76</v>
      </c>
      <c r="K60" s="13" t="str">
        <f>HYPERLINK("https://drive.google.com/file/d/0Bxf6anvYj47HSnUwOGNyNjE2Z0U/view?usp=sharing","Leja me nr. 05-351-24179")</f>
        <v>Leja me nr. 05-351-24179</v>
      </c>
      <c r="L60" s="16" t="str">
        <f>HYPERLINK("https://drive.google.com/file/d/0Bxf6anvYj47HSW0xei0wOVFDVGs/view?usp=sharing","Situacioni")</f>
        <v>Situacioni</v>
      </c>
    </row>
    <row r="61" spans="1:12" ht="25.5" x14ac:dyDescent="0.2">
      <c r="A61" s="4">
        <v>55</v>
      </c>
      <c r="B61" s="5">
        <v>41095</v>
      </c>
      <c r="C61" s="6" t="s">
        <v>171</v>
      </c>
      <c r="D61" s="21" t="s">
        <v>171</v>
      </c>
      <c r="E61" s="6" t="s">
        <v>185</v>
      </c>
      <c r="F61" s="7" t="s">
        <v>186</v>
      </c>
      <c r="G61" s="36" t="s">
        <v>44</v>
      </c>
      <c r="H61" s="42" t="s">
        <v>45</v>
      </c>
      <c r="I61" s="15"/>
      <c r="J61" s="9" t="s">
        <v>173</v>
      </c>
      <c r="K61" s="13" t="str">
        <f>HYPERLINK("https://drive.google.com/open?id=0Bxf6anvYj47HU1ZPQWQ1dHh6MTg","Leja me nr. 05-351-19551")</f>
        <v>Leja me nr. 05-351-19551</v>
      </c>
      <c r="L61" s="14" t="s">
        <v>23</v>
      </c>
    </row>
    <row r="62" spans="1:12" ht="12.75" x14ac:dyDescent="0.2">
      <c r="A62" s="4">
        <v>56</v>
      </c>
      <c r="B62" s="5">
        <v>41094</v>
      </c>
      <c r="C62" s="6" t="s">
        <v>187</v>
      </c>
      <c r="D62" s="6" t="s">
        <v>187</v>
      </c>
      <c r="E62" s="6" t="s">
        <v>19</v>
      </c>
      <c r="F62" s="7" t="s">
        <v>188</v>
      </c>
      <c r="G62" s="35">
        <v>55.74</v>
      </c>
      <c r="H62" s="41">
        <v>2824</v>
      </c>
      <c r="I62" s="20" t="s">
        <v>71</v>
      </c>
      <c r="J62" s="12" t="s">
        <v>22</v>
      </c>
      <c r="K62" s="13" t="str">
        <f>HYPERLINK("https://drive.google.com/file/d/0Bxf6anvYj47HaVEyNllvcXFNRmM/view?usp=sharing","Leja me nr. 05-351-14763")</f>
        <v>Leja me nr. 05-351-14763</v>
      </c>
      <c r="L62" s="16" t="str">
        <f>HYPERLINK("https://drive.google.com/file/d/0Bxf6anvYj47HWFNpU3FydGsyVVk/view?usp=sharing","Situacioni")</f>
        <v>Situacioni</v>
      </c>
    </row>
    <row r="63" spans="1:12" ht="12.75" x14ac:dyDescent="0.2">
      <c r="A63" s="4">
        <v>57</v>
      </c>
      <c r="B63" s="5">
        <v>41093</v>
      </c>
      <c r="C63" s="6" t="s">
        <v>189</v>
      </c>
      <c r="D63" s="6" t="s">
        <v>189</v>
      </c>
      <c r="E63" s="6" t="s">
        <v>190</v>
      </c>
      <c r="F63" s="7" t="s">
        <v>172</v>
      </c>
      <c r="G63" s="35">
        <v>2318</v>
      </c>
      <c r="H63" s="41">
        <v>10034</v>
      </c>
      <c r="I63" s="6" t="s">
        <v>54</v>
      </c>
      <c r="J63" s="9" t="s">
        <v>76</v>
      </c>
      <c r="K63" s="13" t="str">
        <f>HYPERLINK("https://drive.google.com/file/d/0Bxf6anvYj47HQlBnTV9iVXRuOUE/view?usp=sharing","Leja me nr. 05-351-20223")</f>
        <v>Leja me nr. 05-351-20223</v>
      </c>
      <c r="L63" s="16" t="str">
        <f>HYPERLINK("https://drive.google.com/file/d/0Bxf6anvYj47HVTVQcUJyb1ZjTEk/view?usp=sharing","Situacioni")</f>
        <v>Situacioni</v>
      </c>
    </row>
    <row r="64" spans="1:12" ht="12.75" x14ac:dyDescent="0.2">
      <c r="A64" s="4">
        <v>58</v>
      </c>
      <c r="B64" s="5">
        <v>41092</v>
      </c>
      <c r="C64" s="20" t="s">
        <v>191</v>
      </c>
      <c r="D64" s="20" t="s">
        <v>191</v>
      </c>
      <c r="E64" s="20" t="s">
        <v>78</v>
      </c>
      <c r="F64" s="7" t="s">
        <v>167</v>
      </c>
      <c r="G64" s="35">
        <v>38.090000000000003</v>
      </c>
      <c r="H64" s="43">
        <v>2150.5</v>
      </c>
      <c r="I64" s="20" t="s">
        <v>71</v>
      </c>
      <c r="J64" s="9" t="s">
        <v>22</v>
      </c>
      <c r="K64" s="23" t="str">
        <f>HYPERLINK("https://drive.google.com/file/d/0Bxf6anvYj47HWWVPblNLUDVCRlU/view?usp=sharing","Leja me nr. 05-351-23560")</f>
        <v>Leja me nr. 05-351-23560</v>
      </c>
      <c r="L64" s="24" t="s">
        <v>23</v>
      </c>
    </row>
    <row r="65" spans="1:12" ht="25.5" x14ac:dyDescent="0.2">
      <c r="A65" s="4">
        <v>59</v>
      </c>
      <c r="B65" s="5">
        <v>41092</v>
      </c>
      <c r="C65" s="20" t="s">
        <v>171</v>
      </c>
      <c r="D65" s="20" t="s">
        <v>171</v>
      </c>
      <c r="E65" s="20" t="s">
        <v>192</v>
      </c>
      <c r="F65" s="25" t="s">
        <v>158</v>
      </c>
      <c r="G65" s="36" t="s">
        <v>44</v>
      </c>
      <c r="H65" s="42" t="s">
        <v>45</v>
      </c>
      <c r="I65" s="20" t="s">
        <v>71</v>
      </c>
      <c r="J65" s="9" t="s">
        <v>173</v>
      </c>
      <c r="K65" s="23" t="str">
        <f>HYPERLINK("https://drive.google.com/file/d/0Bxf6anvYj47HZjNoa0w0T2RYTDA/view?usp=sharing","Leja me nr. 05-351-18210")</f>
        <v>Leja me nr. 05-351-18210</v>
      </c>
      <c r="L65" s="26" t="str">
        <f>HYPERLINK("https://drive.google.com/file/d/0Bxf6anvYj47HeUxGQThMbTVUbWs/view?usp=sharing","Situacioni")</f>
        <v>Situacioni</v>
      </c>
    </row>
    <row r="66" spans="1:12" ht="25.5" x14ac:dyDescent="0.2">
      <c r="A66" s="4">
        <v>60</v>
      </c>
      <c r="B66" s="5">
        <v>41092</v>
      </c>
      <c r="C66" s="20" t="s">
        <v>171</v>
      </c>
      <c r="D66" s="20" t="s">
        <v>171</v>
      </c>
      <c r="E66" s="20" t="s">
        <v>81</v>
      </c>
      <c r="F66" s="25" t="s">
        <v>193</v>
      </c>
      <c r="G66" s="36" t="s">
        <v>44</v>
      </c>
      <c r="H66" s="42" t="s">
        <v>45</v>
      </c>
      <c r="I66" s="20" t="s">
        <v>71</v>
      </c>
      <c r="J66" s="9" t="s">
        <v>173</v>
      </c>
      <c r="K66" s="23" t="str">
        <f>HYPERLINK("https://drive.google.com/file/d/0Bxf6anvYj47HU2traTh1VlVaNzA/view?usp=sharing","Leja me nr. 05-350-18208")</f>
        <v>Leja me nr. 05-350-18208</v>
      </c>
      <c r="L66" s="26" t="str">
        <f>HYPERLINK("https://drive.google.com/file/d/0Bxf6anvYj47HSkRfbGVwZjFZQ3c/view?usp=sharing","Situacioni")</f>
        <v>Situacioni</v>
      </c>
    </row>
    <row r="67" spans="1:12" ht="25.5" x14ac:dyDescent="0.2">
      <c r="A67" s="4">
        <v>61</v>
      </c>
      <c r="B67" s="5">
        <v>41086</v>
      </c>
      <c r="C67" s="20" t="s">
        <v>194</v>
      </c>
      <c r="D67" s="20" t="s">
        <v>194</v>
      </c>
      <c r="E67" s="20" t="s">
        <v>195</v>
      </c>
      <c r="F67" s="25" t="s">
        <v>58</v>
      </c>
      <c r="G67" s="39">
        <v>5885.5</v>
      </c>
      <c r="H67" s="43">
        <v>265922</v>
      </c>
      <c r="I67" s="20" t="s">
        <v>196</v>
      </c>
      <c r="J67" s="9" t="s">
        <v>17</v>
      </c>
      <c r="K67" s="27" t="str">
        <f>HYPERLINK("https://drive.google.com/file/d/0Bxf6anvYj47HSW9tWUFOa3Iwa1k/view?usp=sharing","Leja me nr. 05-351-458")</f>
        <v>Leja me nr. 05-351-458</v>
      </c>
      <c r="L67" s="27" t="str">
        <f>HYPERLINK("https://drive.google.com/file/d/0Bxf6anvYj47HanF2THowQmNMd0k/view?usp=sharing","Situacioni")</f>
        <v>Situacioni</v>
      </c>
    </row>
    <row r="68" spans="1:12" ht="12.75" x14ac:dyDescent="0.2">
      <c r="A68" s="4">
        <v>62</v>
      </c>
      <c r="B68" s="5">
        <v>41085</v>
      </c>
      <c r="C68" s="20" t="s">
        <v>197</v>
      </c>
      <c r="D68" s="20" t="s">
        <v>197</v>
      </c>
      <c r="E68" s="20" t="s">
        <v>143</v>
      </c>
      <c r="F68" s="25" t="s">
        <v>181</v>
      </c>
      <c r="G68" s="40">
        <v>316.31</v>
      </c>
      <c r="H68" s="43">
        <v>3844.65</v>
      </c>
      <c r="I68" s="20" t="s">
        <v>136</v>
      </c>
      <c r="J68" s="9" t="s">
        <v>76</v>
      </c>
      <c r="K68" s="23" t="str">
        <f>HYPERLINK("https://drive.google.com/file/d/0Bxf6anvYj47HWmUzeEVSSUFEZkU/view?usp=sharing","Leja me nr. 05-351-15093")</f>
        <v>Leja me nr. 05-351-15093</v>
      </c>
      <c r="L68" s="26" t="str">
        <f>HYPERLINK("https://drive.google.com/file/d/0Bxf6anvYj47HaFpSLU9HY0pDOGM/view?usp=sharing","Situacioni")</f>
        <v>Situacioni</v>
      </c>
    </row>
    <row r="69" spans="1:12" ht="25.5" x14ac:dyDescent="0.2">
      <c r="A69" s="4">
        <v>63</v>
      </c>
      <c r="B69" s="5">
        <v>41082</v>
      </c>
      <c r="C69" s="28" t="s">
        <v>198</v>
      </c>
      <c r="D69" s="20" t="s">
        <v>199</v>
      </c>
      <c r="E69" s="28" t="s">
        <v>128</v>
      </c>
      <c r="F69" s="25" t="s">
        <v>35</v>
      </c>
      <c r="G69" s="39">
        <v>6365.27</v>
      </c>
      <c r="H69" s="43">
        <v>159756.5</v>
      </c>
      <c r="I69" s="20" t="s">
        <v>200</v>
      </c>
      <c r="J69" s="9" t="s">
        <v>17</v>
      </c>
      <c r="K69" s="29"/>
      <c r="L69" s="27" t="str">
        <f>HYPERLINK("https://drive.google.com/file/d/0Bxf6anvYj47HU1RtRHdCR1JJWXM/view?usp=sharing","Situacioni")</f>
        <v>Situacioni</v>
      </c>
    </row>
    <row r="70" spans="1:12" ht="12.75" x14ac:dyDescent="0.2">
      <c r="A70" s="4">
        <v>64</v>
      </c>
      <c r="B70" s="5">
        <v>41082</v>
      </c>
      <c r="C70" s="20" t="s">
        <v>201</v>
      </c>
      <c r="D70" s="20" t="s">
        <v>202</v>
      </c>
      <c r="E70" s="20" t="s">
        <v>203</v>
      </c>
      <c r="F70" s="25" t="s">
        <v>58</v>
      </c>
      <c r="G70" s="40">
        <v>4265.8100000000004</v>
      </c>
      <c r="H70" s="43">
        <v>96697.9</v>
      </c>
      <c r="I70" s="20" t="s">
        <v>125</v>
      </c>
      <c r="J70" s="9" t="s">
        <v>17</v>
      </c>
      <c r="K70" s="27" t="str">
        <f>HYPERLINK("https://drive.google.com/file/d/0Bxf6anvYj47HdXk0Y1NxQUVBV2c/view?usp=sharing","Leja me nr. 05-351-18308")</f>
        <v>Leja me nr. 05-351-18308</v>
      </c>
      <c r="L70" s="27" t="str">
        <f>HYPERLINK("https://drive.google.com/file/d/0Bxf6anvYj47HZFpVWVdQNmN1b2M/view?usp=sharing","Situacioni")</f>
        <v>Situacioni</v>
      </c>
    </row>
    <row r="71" spans="1:12" ht="12.75" x14ac:dyDescent="0.2">
      <c r="A71" s="4">
        <v>65</v>
      </c>
      <c r="B71" s="5">
        <v>41078</v>
      </c>
      <c r="C71" s="20" t="s">
        <v>204</v>
      </c>
      <c r="D71" s="20" t="s">
        <v>204</v>
      </c>
      <c r="E71" s="20" t="s">
        <v>205</v>
      </c>
      <c r="F71" s="25" t="s">
        <v>181</v>
      </c>
      <c r="G71" s="40">
        <v>397.27</v>
      </c>
      <c r="H71" s="43">
        <v>4040.89</v>
      </c>
      <c r="I71" s="20" t="s">
        <v>206</v>
      </c>
      <c r="J71" s="9" t="s">
        <v>76</v>
      </c>
      <c r="K71" s="23" t="str">
        <f>HYPERLINK("https://drive.google.com/file/d/0Bxf6anvYj47HNlU0NWxYVTdHLTQ/view?usp=sharing","Leja me nr. 05-351-17327")</f>
        <v>Leja me nr. 05-351-17327</v>
      </c>
      <c r="L71" s="26" t="str">
        <f>HYPERLINK("https://drive.google.com/file/d/0Bxf6anvYj47HZ2F4LW1LSGExSEE/view?usp=sharing","Situacioni")</f>
        <v>Situacioni</v>
      </c>
    </row>
    <row r="72" spans="1:12" ht="25.5" x14ac:dyDescent="0.2">
      <c r="A72" s="4">
        <v>66</v>
      </c>
      <c r="B72" s="5">
        <v>41075</v>
      </c>
      <c r="C72" s="20" t="s">
        <v>207</v>
      </c>
      <c r="D72" s="20" t="s">
        <v>208</v>
      </c>
      <c r="E72" s="20" t="s">
        <v>209</v>
      </c>
      <c r="F72" s="25" t="s">
        <v>40</v>
      </c>
      <c r="G72" s="37">
        <v>6745.22</v>
      </c>
      <c r="H72" s="43">
        <v>73304.490000000005</v>
      </c>
      <c r="I72" s="20" t="s">
        <v>210</v>
      </c>
      <c r="J72" s="9" t="s">
        <v>17</v>
      </c>
      <c r="K72" s="27" t="str">
        <f>HYPERLINK("https://drive.google.com/file/d/0Bxf6anvYj47HYnd0SE1SOXlua1E/view?usp=sharing","Leja me nr. 05-351-18307")</f>
        <v>Leja me nr. 05-351-18307</v>
      </c>
      <c r="L72" s="26" t="str">
        <f>HYPERLINK("https://drive.google.com/file/d/0Bxf6anvYj47HN0treDBSby0tSG8/view?usp=sharing","Situacioni")</f>
        <v>Situacioni</v>
      </c>
    </row>
    <row r="73" spans="1:12" ht="12.75" x14ac:dyDescent="0.2">
      <c r="A73" s="4">
        <v>67</v>
      </c>
      <c r="B73" s="5">
        <v>41073</v>
      </c>
      <c r="C73" s="20" t="s">
        <v>211</v>
      </c>
      <c r="D73" s="20" t="s">
        <v>211</v>
      </c>
      <c r="E73" s="20" t="s">
        <v>19</v>
      </c>
      <c r="F73" s="25" t="s">
        <v>116</v>
      </c>
      <c r="G73" s="40">
        <v>182.2</v>
      </c>
      <c r="H73" s="43">
        <v>2024.4</v>
      </c>
      <c r="I73" s="20" t="s">
        <v>136</v>
      </c>
      <c r="J73" s="9" t="s">
        <v>76</v>
      </c>
      <c r="K73" s="23" t="str">
        <f>HYPERLINK("https://drive.google.com/file/d/0Bxf6anvYj47HeG12QmluTlNjTzQ/view?usp=sharing","Leja me nr. 05-351-19686")</f>
        <v>Leja me nr. 05-351-19686</v>
      </c>
      <c r="L73" s="26" t="str">
        <f>HYPERLINK("https://drive.google.com/file/d/0Bxf6anvYj47HNHRFQzUxeVV3UVk/view?usp=sharing","Situacioni")</f>
        <v>Situacioni</v>
      </c>
    </row>
    <row r="74" spans="1:12" ht="12.75" x14ac:dyDescent="0.2">
      <c r="A74" s="4">
        <v>68</v>
      </c>
      <c r="B74" s="5">
        <v>41067</v>
      </c>
      <c r="C74" s="20" t="s">
        <v>212</v>
      </c>
      <c r="D74" s="20" t="s">
        <v>213</v>
      </c>
      <c r="E74" s="20" t="s">
        <v>143</v>
      </c>
      <c r="F74" s="25" t="s">
        <v>40</v>
      </c>
      <c r="G74" s="40">
        <v>3749.0320000000002</v>
      </c>
      <c r="H74" s="43">
        <v>104422.07</v>
      </c>
      <c r="I74" s="20" t="s">
        <v>161</v>
      </c>
      <c r="J74" s="9" t="s">
        <v>17</v>
      </c>
      <c r="K74" s="27" t="str">
        <f>HYPERLINK("https://drive.google.com/file/d/0Bxf6anvYj47Hd2l2MVNtLTZJb1E/view?usp=sharing","Leja me nr. 05-351-18494")</f>
        <v>Leja me nr. 05-351-18494</v>
      </c>
      <c r="L74" s="27" t="str">
        <f>HYPERLINK("https://drive.google.com/file/d/0Bxf6anvYj47HZG5xNXlvR2pEZWM/view?usp=sharing","Situacioni")</f>
        <v>Situacioni</v>
      </c>
    </row>
    <row r="75" spans="1:12" ht="12.75" x14ac:dyDescent="0.2">
      <c r="A75" s="4">
        <v>69</v>
      </c>
      <c r="B75" s="5">
        <v>41061</v>
      </c>
      <c r="C75" s="20" t="s">
        <v>214</v>
      </c>
      <c r="D75" s="20" t="s">
        <v>214</v>
      </c>
      <c r="E75" s="20" t="s">
        <v>19</v>
      </c>
      <c r="F75" s="25" t="s">
        <v>181</v>
      </c>
      <c r="G75" s="40">
        <v>328.8</v>
      </c>
      <c r="H75" s="43">
        <v>3038.4</v>
      </c>
      <c r="I75" s="20" t="s">
        <v>31</v>
      </c>
      <c r="J75" s="9" t="s">
        <v>76</v>
      </c>
      <c r="K75" s="23" t="str">
        <f>HYPERLINK("https://drive.google.com/file/d/0Bxf6anvYj47HOXYtSXI1ajBFOVE/view?usp=sharing","Leja me nr. 05-351-14612")</f>
        <v>Leja me nr. 05-351-14612</v>
      </c>
      <c r="L75" s="26" t="str">
        <f>HYPERLINK("https://drive.google.com/file/d/0Bxf6anvYj47HUHBfYU1VNE92bVU/view?usp=sharing","Situacioni")</f>
        <v>Situacioni</v>
      </c>
    </row>
    <row r="76" spans="1:12" ht="25.5" x14ac:dyDescent="0.2">
      <c r="A76" s="4">
        <v>70</v>
      </c>
      <c r="B76" s="5">
        <v>41061</v>
      </c>
      <c r="C76" s="20" t="s">
        <v>215</v>
      </c>
      <c r="D76" s="20" t="s">
        <v>216</v>
      </c>
      <c r="E76" s="20" t="s">
        <v>217</v>
      </c>
      <c r="F76" s="25" t="s">
        <v>40</v>
      </c>
      <c r="G76" s="37" t="s">
        <v>218</v>
      </c>
      <c r="H76" s="43">
        <v>96437.72</v>
      </c>
      <c r="I76" s="20" t="s">
        <v>219</v>
      </c>
      <c r="J76" s="9" t="s">
        <v>17</v>
      </c>
      <c r="K76" s="27" t="str">
        <f>HYPERLINK("https://drive.google.com/file/d/0Bxf6anvYj47HQkh0djBDUFNhcVk/view?usp=sharing","Leja me nr. 05-351-15141")</f>
        <v>Leja me nr. 05-351-15141</v>
      </c>
      <c r="L76" s="27" t="str">
        <f>HYPERLINK("https://drive.google.com/file/d/0Bxf6anvYj47HWGg5cjg3QUlwd3c/view?usp=sharing","Situacioni")</f>
        <v>Situacioni</v>
      </c>
    </row>
    <row r="77" spans="1:12" ht="12.75" x14ac:dyDescent="0.2">
      <c r="A77" s="4">
        <v>71</v>
      </c>
      <c r="B77" s="5">
        <v>41061</v>
      </c>
      <c r="C77" s="20" t="s">
        <v>88</v>
      </c>
      <c r="D77" s="20" t="s">
        <v>220</v>
      </c>
      <c r="E77" s="20" t="s">
        <v>221</v>
      </c>
      <c r="F77" s="25" t="s">
        <v>58</v>
      </c>
      <c r="G77" s="40">
        <v>1391.8</v>
      </c>
      <c r="H77" s="43">
        <v>122411.45</v>
      </c>
      <c r="I77" s="20" t="s">
        <v>87</v>
      </c>
      <c r="J77" s="9" t="s">
        <v>17</v>
      </c>
      <c r="K77" s="27" t="str">
        <f>HYPERLINK("https://drive.google.com/file/d/0Bxf6anvYj47HbVZRblcwd1lSY3c/view?usp=sharing","Leja me nr, 05-351-10949")</f>
        <v>Leja me nr, 05-351-10949</v>
      </c>
      <c r="L77" s="27" t="str">
        <f>HYPERLINK("https://drive.google.com/file/d/0Bxf6anvYj47HZUJ5NXVlck9TOVU/view?usp=sharing","Situacioni")</f>
        <v>Situacioni</v>
      </c>
    </row>
    <row r="78" spans="1:12" ht="12.75" x14ac:dyDescent="0.2">
      <c r="A78" s="4">
        <v>72</v>
      </c>
      <c r="B78" s="5">
        <v>41054</v>
      </c>
      <c r="C78" s="20" t="s">
        <v>222</v>
      </c>
      <c r="D78" s="20" t="s">
        <v>222</v>
      </c>
      <c r="E78" s="20" t="s">
        <v>19</v>
      </c>
      <c r="F78" s="25" t="s">
        <v>40</v>
      </c>
      <c r="G78" s="40">
        <v>463.1</v>
      </c>
      <c r="H78" s="43">
        <v>5145.42</v>
      </c>
      <c r="I78" s="20" t="s">
        <v>31</v>
      </c>
      <c r="J78" s="9" t="s">
        <v>76</v>
      </c>
      <c r="K78" s="23" t="str">
        <f>HYPERLINK("https://drive.google.com/file/d/0Bxf6anvYj47Hb0NvcFhLbUcwekU/view?usp=sharing","Leja me nr. 05-351-14248")</f>
        <v>Leja me nr. 05-351-14248</v>
      </c>
      <c r="L78" s="26" t="str">
        <f>HYPERLINK("https://drive.google.com/file/d/0Bxf6anvYj47Hc21SSHEyWTUwLVU/view?usp=sharing","Situacioni")</f>
        <v>Situacioni</v>
      </c>
    </row>
    <row r="79" spans="1:12" ht="12.75" x14ac:dyDescent="0.2">
      <c r="A79" s="4">
        <v>73</v>
      </c>
      <c r="B79" s="5">
        <v>41054</v>
      </c>
      <c r="C79" s="20" t="s">
        <v>223</v>
      </c>
      <c r="D79" s="20" t="s">
        <v>223</v>
      </c>
      <c r="E79" s="20" t="s">
        <v>224</v>
      </c>
      <c r="F79" s="25" t="s">
        <v>15</v>
      </c>
      <c r="G79" s="40">
        <v>2141</v>
      </c>
      <c r="H79" s="43">
        <v>50861.25</v>
      </c>
      <c r="I79" s="20" t="s">
        <v>225</v>
      </c>
      <c r="J79" s="9" t="s">
        <v>17</v>
      </c>
      <c r="K79" s="27" t="str">
        <f>HYPERLINK("https://drive.google.com/file/d/0Bxf6anvYj47HdTAwc2FfTGxmYjA/view?usp=sharing","Leja me nr. 05-351-16344")</f>
        <v>Leja me nr. 05-351-16344</v>
      </c>
      <c r="L79" s="27" t="str">
        <f>HYPERLINK("https://drive.google.com/file/d/0Bxf6anvYj47HQ2ZxVlVNT2c4RTg/view?usp=sharing","Situacioni")</f>
        <v>Situacioni</v>
      </c>
    </row>
    <row r="80" spans="1:12" ht="25.5" x14ac:dyDescent="0.2">
      <c r="A80" s="4">
        <v>74</v>
      </c>
      <c r="B80" s="5">
        <v>41054</v>
      </c>
      <c r="C80" s="20" t="s">
        <v>226</v>
      </c>
      <c r="D80" s="20" t="s">
        <v>227</v>
      </c>
      <c r="E80" s="20" t="s">
        <v>228</v>
      </c>
      <c r="F80" s="25" t="s">
        <v>35</v>
      </c>
      <c r="G80" s="40">
        <v>5098</v>
      </c>
      <c r="H80" s="43">
        <v>125947.5</v>
      </c>
      <c r="I80" s="20" t="s">
        <v>36</v>
      </c>
      <c r="J80" s="9" t="s">
        <v>17</v>
      </c>
      <c r="K80" s="27" t="str">
        <f>HYPERLINK("https://drive.google.com/file/d/0Bxf6anvYj47HTVFlYXJaREFNTms/view?usp=sharing","Leja me nr. 05-351-18009")</f>
        <v>Leja me nr. 05-351-18009</v>
      </c>
      <c r="L80" s="27" t="str">
        <f>HYPERLINK("https://drive.google.com/file/d/0Bxf6anvYj47HZnZJbUZ3dzJqOGM/view?usp=sharing","Situacioni")</f>
        <v>Situacioni</v>
      </c>
    </row>
    <row r="81" spans="1:12" ht="12.75" x14ac:dyDescent="0.2">
      <c r="A81" s="4">
        <v>75</v>
      </c>
      <c r="B81" s="5">
        <v>41052</v>
      </c>
      <c r="C81" s="20" t="s">
        <v>229</v>
      </c>
      <c r="D81" s="20" t="s">
        <v>229</v>
      </c>
      <c r="E81" s="20" t="s">
        <v>19</v>
      </c>
      <c r="F81" s="25" t="s">
        <v>230</v>
      </c>
      <c r="G81" s="40">
        <v>296</v>
      </c>
      <c r="H81" s="43">
        <v>2745.6</v>
      </c>
      <c r="I81" s="20" t="s">
        <v>31</v>
      </c>
      <c r="J81" s="9" t="s">
        <v>76</v>
      </c>
      <c r="K81" s="23" t="str">
        <f>HYPERLINK("https://drive.google.com/file/d/0Bxf6anvYj47HRUt6QkVnMHdIOTA/view?usp=sharing","Leja me nr. 05-351-12799")</f>
        <v>Leja me nr. 05-351-12799</v>
      </c>
      <c r="L81" s="26" t="str">
        <f>HYPERLINK("https://drive.google.com/file/d/0Bxf6anvYj47HU1VnS0ZxRHVFejA/view?usp=sharing","Situacioni")</f>
        <v>Situacioni</v>
      </c>
    </row>
    <row r="82" spans="1:12" ht="12.75" x14ac:dyDescent="0.2">
      <c r="A82" s="4">
        <v>76</v>
      </c>
      <c r="B82" s="5">
        <v>41047</v>
      </c>
      <c r="C82" s="20" t="s">
        <v>231</v>
      </c>
      <c r="D82" s="20" t="s">
        <v>231</v>
      </c>
      <c r="E82" s="20" t="s">
        <v>19</v>
      </c>
      <c r="F82" s="25" t="s">
        <v>232</v>
      </c>
      <c r="G82" s="37">
        <v>673.1</v>
      </c>
      <c r="H82" s="43">
        <v>5788.47</v>
      </c>
      <c r="I82" s="20" t="s">
        <v>46</v>
      </c>
      <c r="J82" s="9" t="s">
        <v>76</v>
      </c>
      <c r="K82" s="23" t="str">
        <f>HYPERLINK("https://drive.google.com/file/d/0Bxf6anvYj47HT3dQS0lwTUZqTG8/view?usp=sharing","Leja me nr. 05-351-3452")</f>
        <v>Leja me nr. 05-351-3452</v>
      </c>
      <c r="L82" s="26" t="str">
        <f>HYPERLINK("https://drive.google.com/file/d/0Bxf6anvYj47HT2VaOXBhczJRSTQ/view?usp=sharing","Situacioni")</f>
        <v>Situacioni</v>
      </c>
    </row>
    <row r="83" spans="1:12" ht="25.5" x14ac:dyDescent="0.2">
      <c r="A83" s="4">
        <v>77</v>
      </c>
      <c r="B83" s="5">
        <v>41047</v>
      </c>
      <c r="C83" s="20" t="s">
        <v>233</v>
      </c>
      <c r="D83" s="20" t="s">
        <v>233</v>
      </c>
      <c r="E83" s="20" t="s">
        <v>195</v>
      </c>
      <c r="F83" s="25" t="s">
        <v>40</v>
      </c>
      <c r="G83" s="40">
        <v>3137.62</v>
      </c>
      <c r="H83" s="43">
        <v>82059.06</v>
      </c>
      <c r="I83" s="20" t="s">
        <v>225</v>
      </c>
      <c r="J83" s="9" t="s">
        <v>17</v>
      </c>
      <c r="K83" s="27" t="str">
        <f>HYPERLINK("https://drive.google.com/file/d/0Bxf6anvYj47HbEhKODBBUDJEOXM/view?usp=sharing","Leja me nr. 05-351-10835")</f>
        <v>Leja me nr. 05-351-10835</v>
      </c>
      <c r="L83" s="27" t="str">
        <f>HYPERLINK("https://drive.google.com/file/d/0Bxf6anvYj47HRGtvQWl2RlpLRUk/view?usp=sharing","Situacioni")</f>
        <v>Situacioni</v>
      </c>
    </row>
    <row r="84" spans="1:12" ht="12.75" x14ac:dyDescent="0.2">
      <c r="A84" s="4">
        <v>78</v>
      </c>
      <c r="B84" s="5">
        <v>41043</v>
      </c>
      <c r="C84" s="20" t="s">
        <v>234</v>
      </c>
      <c r="D84" s="30" t="s">
        <v>235</v>
      </c>
      <c r="E84" s="20" t="s">
        <v>236</v>
      </c>
      <c r="F84" s="25" t="s">
        <v>237</v>
      </c>
      <c r="G84" s="36" t="s">
        <v>44</v>
      </c>
      <c r="H84" s="43" t="s">
        <v>44</v>
      </c>
      <c r="I84" s="25" t="s">
        <v>44</v>
      </c>
      <c r="J84" s="9" t="s">
        <v>238</v>
      </c>
      <c r="K84" s="23" t="str">
        <f>HYPERLINK("https://drive.google.com/file/d/0Bxf6anvYj47HVU90YTdOMGxlT3c/view?usp=sharing","Leja me nr. 05-351-13216")</f>
        <v>Leja me nr. 05-351-13216</v>
      </c>
      <c r="L84" s="24" t="s">
        <v>23</v>
      </c>
    </row>
    <row r="85" spans="1:12" ht="12.75" x14ac:dyDescent="0.2">
      <c r="A85" s="4">
        <v>79</v>
      </c>
      <c r="B85" s="5">
        <v>41037</v>
      </c>
      <c r="C85" s="20" t="s">
        <v>150</v>
      </c>
      <c r="D85" s="20" t="s">
        <v>150</v>
      </c>
      <c r="E85" s="20" t="s">
        <v>115</v>
      </c>
      <c r="F85" s="25" t="s">
        <v>186</v>
      </c>
      <c r="G85" s="40">
        <v>35.25</v>
      </c>
      <c r="H85" s="42" t="s">
        <v>45</v>
      </c>
      <c r="I85" s="15" t="s">
        <v>45</v>
      </c>
      <c r="J85" s="9" t="s">
        <v>117</v>
      </c>
      <c r="K85" s="23" t="str">
        <f>HYPERLINK("https://drive.google.com/file/d/0Bxf6anvYj47HUzc3UVhPdHlUUkU/view?usp=sharing","Leja me nr. 05-351-14258")</f>
        <v>Leja me nr. 05-351-14258</v>
      </c>
      <c r="L85" s="26" t="str">
        <f>HYPERLINK("https://drive.google.com/file/d/0Bxf6anvYj47HNGxHeEU2S0g5dGc/view?usp=sharing","Situacioni")</f>
        <v>Situacioni</v>
      </c>
    </row>
    <row r="86" spans="1:12" ht="25.5" x14ac:dyDescent="0.2">
      <c r="A86" s="4">
        <v>80</v>
      </c>
      <c r="B86" s="5">
        <v>41036</v>
      </c>
      <c r="C86" s="20" t="s">
        <v>239</v>
      </c>
      <c r="D86" s="20" t="s">
        <v>240</v>
      </c>
      <c r="E86" s="55" t="s">
        <v>241</v>
      </c>
      <c r="F86" s="25" t="s">
        <v>40</v>
      </c>
      <c r="G86" s="40">
        <v>6611.44</v>
      </c>
      <c r="H86" s="43">
        <v>181639.7</v>
      </c>
      <c r="I86" s="20" t="s">
        <v>242</v>
      </c>
      <c r="J86" s="9" t="s">
        <v>17</v>
      </c>
      <c r="K86" s="27" t="str">
        <f>HYPERLINK("https://drive.google.com/file/d/0Bxf6anvYj47HRU5BU0QtbGY1MXc/view?usp=sharing","Leja me nr. 05-351-8863")</f>
        <v>Leja me nr. 05-351-8863</v>
      </c>
      <c r="L86" s="27" t="str">
        <f>HYPERLINK("https://drive.google.com/file/d/0Bxf6anvYj47HWl9MUDNaOGJnd1U/view?usp=sharing","Situacioni")</f>
        <v>Situacioni</v>
      </c>
    </row>
    <row r="87" spans="1:12" ht="12.75" x14ac:dyDescent="0.2">
      <c r="A87" s="4">
        <v>81</v>
      </c>
      <c r="B87" s="5">
        <v>41033</v>
      </c>
      <c r="C87" s="20" t="s">
        <v>243</v>
      </c>
      <c r="D87" s="20" t="s">
        <v>243</v>
      </c>
      <c r="E87" s="20" t="s">
        <v>244</v>
      </c>
      <c r="F87" s="25" t="s">
        <v>35</v>
      </c>
      <c r="G87" s="37">
        <v>5673.53</v>
      </c>
      <c r="H87" s="43">
        <v>176426.46</v>
      </c>
      <c r="I87" s="20" t="s">
        <v>225</v>
      </c>
      <c r="J87" s="9" t="s">
        <v>17</v>
      </c>
      <c r="K87" s="27" t="str">
        <f>HYPERLINK("https://drive.google.com/file/d/0Bxf6anvYj47HM3RzSFEybmtGd0E/view?usp=sharing","Leja me nr. 05-351-31597")</f>
        <v>Leja me nr. 05-351-31597</v>
      </c>
      <c r="L87" s="27" t="str">
        <f>HYPERLINK("https://drive.google.com/file/d/0Bxf6anvYj47HQnZfajkwcjd6cWc/view?usp=sharing","Situacioni")</f>
        <v>Situacioni</v>
      </c>
    </row>
    <row r="88" spans="1:12" ht="12.75" x14ac:dyDescent="0.2">
      <c r="A88" s="4">
        <v>82</v>
      </c>
      <c r="B88" s="5">
        <v>41025</v>
      </c>
      <c r="C88" s="20" t="s">
        <v>245</v>
      </c>
      <c r="D88" s="20" t="s">
        <v>246</v>
      </c>
      <c r="E88" s="20" t="s">
        <v>247</v>
      </c>
      <c r="F88" s="25" t="s">
        <v>40</v>
      </c>
      <c r="G88" s="40">
        <v>3393</v>
      </c>
      <c r="H88" s="43">
        <v>105019.3</v>
      </c>
      <c r="I88" s="20" t="s">
        <v>98</v>
      </c>
      <c r="J88" s="9" t="s">
        <v>17</v>
      </c>
      <c r="K88" s="27" t="str">
        <f>HYPERLINK("https://drive.google.com/file/d/0Bxf6anvYj47HdC1ZNzJQN29wX1E/view?usp=sharing","Leja me nr. 05-351-10262")</f>
        <v>Leja me nr. 05-351-10262</v>
      </c>
      <c r="L88" s="27" t="str">
        <f>HYPERLINK("https://drive.google.com/file/d/0Bxf6anvYj47HVUV3c3RZaDBHMFU/view?usp=sharing","Situacioni")</f>
        <v>Situacioni</v>
      </c>
    </row>
    <row r="89" spans="1:12" ht="12.75" x14ac:dyDescent="0.2">
      <c r="A89" s="4">
        <v>83</v>
      </c>
      <c r="B89" s="5">
        <v>41011</v>
      </c>
      <c r="C89" s="20" t="s">
        <v>248</v>
      </c>
      <c r="D89" s="20" t="s">
        <v>248</v>
      </c>
      <c r="E89" s="20" t="s">
        <v>143</v>
      </c>
      <c r="F89" s="25" t="s">
        <v>40</v>
      </c>
      <c r="G89" s="40">
        <v>449.52</v>
      </c>
      <c r="H89" s="43">
        <v>5006.16</v>
      </c>
      <c r="I89" s="20" t="s">
        <v>136</v>
      </c>
      <c r="J89" s="9" t="s">
        <v>76</v>
      </c>
      <c r="K89" s="23" t="str">
        <f>HYPERLINK("https://drive.google.com/file/d/0Bxf6anvYj47HdTZsTERvUEdmWVE/view?usp=sharing","Leja me nr. 05-351-10132")</f>
        <v>Leja me nr. 05-351-10132</v>
      </c>
      <c r="L89" s="26" t="str">
        <f>HYPERLINK("https://drive.google.com/file/d/0Bxf6anvYj47HZmVyYjZkbU9CbGM/view?usp=sharing","Situacioni")</f>
        <v>Situacioni</v>
      </c>
    </row>
    <row r="90" spans="1:12" ht="12.75" x14ac:dyDescent="0.2">
      <c r="A90" s="4">
        <v>84</v>
      </c>
      <c r="B90" s="5">
        <v>41010</v>
      </c>
      <c r="C90" s="20" t="s">
        <v>249</v>
      </c>
      <c r="D90" s="20" t="s">
        <v>249</v>
      </c>
      <c r="E90" s="20" t="s">
        <v>250</v>
      </c>
      <c r="F90" s="25" t="s">
        <v>75</v>
      </c>
      <c r="G90" s="40">
        <v>282.39</v>
      </c>
      <c r="H90" s="43">
        <v>2629.23</v>
      </c>
      <c r="I90" s="20" t="s">
        <v>31</v>
      </c>
      <c r="J90" s="9" t="s">
        <v>76</v>
      </c>
      <c r="K90" s="23" t="str">
        <f>HYPERLINK("https://drive.google.com/file/d/0Bxf6anvYj47Hck5tTlRGV3ZuNTg/view?usp=sharing","Leja me nr. 05-351-9859")</f>
        <v>Leja me nr. 05-351-9859</v>
      </c>
      <c r="L90" s="26" t="str">
        <f>HYPERLINK("https://drive.google.com/file/d/0Bxf6anvYj47HMF9GQ0c5R1NQMlU/view?usp=sharing","Situacioni")</f>
        <v>Situacioni</v>
      </c>
    </row>
    <row r="91" spans="1:12" ht="12.75" x14ac:dyDescent="0.2">
      <c r="A91" s="4">
        <v>85</v>
      </c>
      <c r="B91" s="5">
        <v>41001</v>
      </c>
      <c r="C91" s="20" t="s">
        <v>251</v>
      </c>
      <c r="D91" s="20" t="s">
        <v>108</v>
      </c>
      <c r="E91" s="20" t="s">
        <v>252</v>
      </c>
      <c r="F91" s="25" t="s">
        <v>82</v>
      </c>
      <c r="G91" s="37">
        <v>4545.43</v>
      </c>
      <c r="H91" s="43">
        <v>227271.5</v>
      </c>
      <c r="I91" s="20" t="s">
        <v>21</v>
      </c>
      <c r="J91" s="9" t="s">
        <v>253</v>
      </c>
      <c r="K91" s="27" t="str">
        <f>HYPERLINK("https://drive.google.com/file/d/0Bxf6anvYj47HdFNIc2ROVXV1R1E/view?usp=sharing","Leja me nr. 05-351-10135")</f>
        <v>Leja me nr. 05-351-10135</v>
      </c>
      <c r="L91" s="24" t="s">
        <v>23</v>
      </c>
    </row>
    <row r="92" spans="1:12" ht="12.75" x14ac:dyDescent="0.2">
      <c r="A92" s="4">
        <v>86</v>
      </c>
      <c r="B92" s="5">
        <v>40997</v>
      </c>
      <c r="C92" s="20" t="s">
        <v>254</v>
      </c>
      <c r="D92" s="20" t="s">
        <v>254</v>
      </c>
      <c r="E92" s="20" t="s">
        <v>255</v>
      </c>
      <c r="F92" s="25" t="s">
        <v>167</v>
      </c>
      <c r="G92" s="40">
        <v>458.1</v>
      </c>
      <c r="H92" s="43">
        <v>3910.2</v>
      </c>
      <c r="I92" s="20" t="s">
        <v>46</v>
      </c>
      <c r="J92" s="9" t="s">
        <v>76</v>
      </c>
      <c r="K92" s="23" t="str">
        <f>HYPERLINK("https://drive.google.com/file/d/0Bxf6anvYj47HTlhPVVkxN0VxdFU/view?usp=sharing","Leja me nr. 05-351-6689")</f>
        <v>Leja me nr. 05-351-6689</v>
      </c>
      <c r="L92" s="31" t="str">
        <f>HYPERLINK("https://drive.google.com/file/d/0Bxf6anvYj47HTklVa0xOZU82MGc/view?usp=sharing","Situacioni")</f>
        <v>Situacioni</v>
      </c>
    </row>
    <row r="93" spans="1:12" ht="12.75" x14ac:dyDescent="0.2">
      <c r="A93" s="4">
        <v>87</v>
      </c>
      <c r="B93" s="5">
        <v>40997</v>
      </c>
      <c r="C93" s="20" t="s">
        <v>256</v>
      </c>
      <c r="D93" s="20" t="s">
        <v>256</v>
      </c>
      <c r="E93" s="20" t="s">
        <v>78</v>
      </c>
      <c r="F93" s="25" t="s">
        <v>181</v>
      </c>
      <c r="G93" s="39">
        <v>467.1</v>
      </c>
      <c r="H93" s="43">
        <v>3762.24</v>
      </c>
      <c r="I93" s="20" t="s">
        <v>31</v>
      </c>
      <c r="J93" s="9" t="s">
        <v>76</v>
      </c>
      <c r="K93" s="23" t="str">
        <f>HYPERLINK("https://drive.google.com/file/d/0Bxf6anvYj47HeXFraU1Bb09XVXc/view?usp=sharing","Leja me nr. 05-351-2015")</f>
        <v>Leja me nr. 05-351-2015</v>
      </c>
      <c r="L93" s="31" t="str">
        <f>HYPERLINK("https://drive.google.com/file/d/0Bxf6anvYj47HQjB6VjRvM3ZLT28/view?usp=sharing","Situacioni")</f>
        <v>Situacioni</v>
      </c>
    </row>
    <row r="94" spans="1:12" ht="51" x14ac:dyDescent="0.2">
      <c r="A94" s="4">
        <v>88</v>
      </c>
      <c r="B94" s="5">
        <v>40990</v>
      </c>
      <c r="C94" s="20" t="s">
        <v>257</v>
      </c>
      <c r="D94" s="20" t="s">
        <v>258</v>
      </c>
      <c r="E94" s="20" t="s">
        <v>259</v>
      </c>
      <c r="F94" s="25" t="s">
        <v>260</v>
      </c>
      <c r="G94" s="40">
        <v>14399.272000000001</v>
      </c>
      <c r="H94" s="43">
        <v>406539.5</v>
      </c>
      <c r="I94" s="20" t="s">
        <v>27</v>
      </c>
      <c r="J94" s="9" t="s">
        <v>17</v>
      </c>
      <c r="K94" s="27" t="str">
        <f>HYPERLINK("https://drive.google.com/file/d/0Bxf6anvYj47HRkNYN1lJeFNSeU0/view?usp=sharing","Leja me nr. 05-351-7565")</f>
        <v>Leja me nr. 05-351-7565</v>
      </c>
      <c r="L94" s="27" t="str">
        <f>HYPERLINK("https://drive.google.com/file/d/0Bxf6anvYj47HbFNkZFhib012RTA/view?usp=sharing","Situacioni")</f>
        <v>Situacioni</v>
      </c>
    </row>
    <row r="95" spans="1:12" ht="25.5" x14ac:dyDescent="0.2">
      <c r="A95" s="4">
        <v>89</v>
      </c>
      <c r="B95" s="5">
        <v>40989</v>
      </c>
      <c r="C95" s="20" t="s">
        <v>261</v>
      </c>
      <c r="D95" s="20" t="s">
        <v>261</v>
      </c>
      <c r="E95" s="20" t="s">
        <v>262</v>
      </c>
      <c r="F95" s="25" t="s">
        <v>175</v>
      </c>
      <c r="G95" s="40">
        <v>71.8</v>
      </c>
      <c r="H95" s="43">
        <v>3590</v>
      </c>
      <c r="I95" s="20" t="s">
        <v>136</v>
      </c>
      <c r="J95" s="9" t="s">
        <v>22</v>
      </c>
      <c r="K95" s="23" t="str">
        <f>HYPERLINK("https://drive.google.com/file/d/0Bxf6anvYj47HdVFwZWUzeXdDVEk/view?usp=sharing","Leja me nr. 05-351-19055 ")</f>
        <v xml:space="preserve">Leja me nr. 05-351-19055 </v>
      </c>
      <c r="L95" s="26" t="str">
        <f>HYPERLINK("https://drive.google.com/file/d/0Bxf6anvYj47HcHF4bDlzQXBtSlU/view?usp=sharing","Situacioni")</f>
        <v>Situacioni</v>
      </c>
    </row>
    <row r="96" spans="1:12" ht="12.75" x14ac:dyDescent="0.2">
      <c r="A96" s="4">
        <v>90</v>
      </c>
      <c r="B96" s="5">
        <v>40975</v>
      </c>
      <c r="C96" s="20" t="s">
        <v>263</v>
      </c>
      <c r="D96" s="20" t="s">
        <v>263</v>
      </c>
      <c r="E96" s="20" t="s">
        <v>78</v>
      </c>
      <c r="F96" s="25" t="s">
        <v>230</v>
      </c>
      <c r="G96" s="40">
        <v>522.86</v>
      </c>
      <c r="H96" s="43">
        <v>4913.5200000000004</v>
      </c>
      <c r="I96" s="20" t="s">
        <v>264</v>
      </c>
      <c r="J96" s="9" t="s">
        <v>76</v>
      </c>
      <c r="K96" s="23" t="str">
        <f>HYPERLINK("https://drive.google.com/file/d/0Bxf6anvYj47HX3U0Wlllemk1Rm8/view?usp=sharing","Leja me nr. 05-351-6619")</f>
        <v>Leja me nr. 05-351-6619</v>
      </c>
      <c r="L96" s="31" t="str">
        <f>HYPERLINK("https://drive.google.com/file/d/0Bxf6anvYj47HVk9xZm1rVmpGcVU/view?usp=sharing","Situacioni")</f>
        <v>Situacioni</v>
      </c>
    </row>
    <row r="97" spans="1:12" ht="12.75" x14ac:dyDescent="0.2">
      <c r="A97" s="4">
        <v>91</v>
      </c>
      <c r="B97" s="5">
        <v>40974</v>
      </c>
      <c r="C97" s="20" t="s">
        <v>265</v>
      </c>
      <c r="D97" s="20" t="s">
        <v>266</v>
      </c>
      <c r="E97" s="20" t="s">
        <v>134</v>
      </c>
      <c r="F97" s="25" t="s">
        <v>267</v>
      </c>
      <c r="G97" s="37">
        <v>4895.5</v>
      </c>
      <c r="H97" s="43">
        <v>126513.5</v>
      </c>
      <c r="I97" s="20" t="s">
        <v>268</v>
      </c>
      <c r="J97" s="9" t="s">
        <v>17</v>
      </c>
      <c r="K97" s="32" t="str">
        <f>HYPERLINK("https://drive.google.com/file/d/0Bxf6anvYj47HeXRvbTNEM2VxSkE/view?usp=sharing","Leja me nr. 05-351-36316")</f>
        <v>Leja me nr. 05-351-36316</v>
      </c>
      <c r="L97" s="27" t="str">
        <f>HYPERLINK("https://drive.google.com/file/d/0Bxf6anvYj47Hcmt1MUphUW9rSEk/view?usp=sharing","Situacioni")</f>
        <v>Situacioni</v>
      </c>
    </row>
    <row r="98" spans="1:12" ht="25.5" x14ac:dyDescent="0.2">
      <c r="A98" s="4">
        <v>92</v>
      </c>
      <c r="B98" s="5">
        <v>40966</v>
      </c>
      <c r="C98" s="20" t="s">
        <v>269</v>
      </c>
      <c r="D98" s="20" t="s">
        <v>270</v>
      </c>
      <c r="E98" s="20" t="s">
        <v>270</v>
      </c>
      <c r="F98" s="25" t="s">
        <v>40</v>
      </c>
      <c r="G98" s="37">
        <v>3118</v>
      </c>
      <c r="H98" s="43">
        <v>85935.88</v>
      </c>
      <c r="I98" s="20" t="s">
        <v>161</v>
      </c>
      <c r="J98" s="9" t="s">
        <v>17</v>
      </c>
      <c r="K98" s="27" t="str">
        <f>HYPERLINK("https://drive.google.com/file/d/0Bxf6anvYj47HN0RsRnJUa3NfWFE/view?usp=sharing","Leja me nr. 05-351-11119")</f>
        <v>Leja me nr. 05-351-11119</v>
      </c>
      <c r="L98" s="24" t="s">
        <v>23</v>
      </c>
    </row>
    <row r="99" spans="1:12" ht="12.75" x14ac:dyDescent="0.2">
      <c r="A99" s="4">
        <v>93</v>
      </c>
      <c r="B99" s="5">
        <v>40962</v>
      </c>
      <c r="C99" s="20" t="s">
        <v>271</v>
      </c>
      <c r="D99" s="20" t="s">
        <v>271</v>
      </c>
      <c r="E99" s="20" t="s">
        <v>78</v>
      </c>
      <c r="F99" s="25" t="s">
        <v>272</v>
      </c>
      <c r="G99" s="40">
        <v>39.17</v>
      </c>
      <c r="H99" s="43">
        <v>1958.5</v>
      </c>
      <c r="I99" s="20" t="s">
        <v>273</v>
      </c>
      <c r="J99" s="9" t="s">
        <v>22</v>
      </c>
      <c r="K99" s="23" t="str">
        <f>HYPERLINK("https://drive.google.com/file/d/0Bxf6anvYj47HV3otTi1tVzdmbDQ/view?usp=sharing","Leja me nr. 05-351-15005")</f>
        <v>Leja me nr. 05-351-15005</v>
      </c>
      <c r="L99" s="24" t="s">
        <v>23</v>
      </c>
    </row>
    <row r="100" spans="1:12" ht="12.75" x14ac:dyDescent="0.2">
      <c r="A100" s="4">
        <v>94</v>
      </c>
      <c r="B100" s="5">
        <v>40954</v>
      </c>
      <c r="C100" s="20" t="s">
        <v>274</v>
      </c>
      <c r="D100" s="20" t="s">
        <v>274</v>
      </c>
      <c r="E100" s="20" t="s">
        <v>275</v>
      </c>
      <c r="F100" s="25" t="s">
        <v>181</v>
      </c>
      <c r="G100" s="40">
        <v>369.15</v>
      </c>
      <c r="H100" s="43">
        <v>3405.59</v>
      </c>
      <c r="I100" s="20" t="s">
        <v>31</v>
      </c>
      <c r="J100" s="9" t="s">
        <v>76</v>
      </c>
      <c r="K100" s="23" t="str">
        <f>HYPERLINK("https://drive.google.com/file/d/0Bxf6anvYj47HZERORDVPSnU0aDg/view?usp=sharing"," Leja me nr. 05-351-4595")</f>
        <v xml:space="preserve"> Leja me nr. 05-351-4595</v>
      </c>
      <c r="L100" s="31" t="str">
        <f>HYPERLINK("https://drive.google.com/file/d/0Bxf6anvYj47Hb1ZQN0YwWlRPOHc/view?usp=sharing","Situacioni")</f>
        <v>Situacioni</v>
      </c>
    </row>
    <row r="101" spans="1:12" ht="12.75" x14ac:dyDescent="0.2">
      <c r="A101" s="4">
        <v>95</v>
      </c>
      <c r="B101" s="5">
        <v>40948</v>
      </c>
      <c r="C101" s="20" t="s">
        <v>276</v>
      </c>
      <c r="D101" s="20" t="s">
        <v>276</v>
      </c>
      <c r="E101" s="20" t="s">
        <v>134</v>
      </c>
      <c r="F101" s="25" t="s">
        <v>188</v>
      </c>
      <c r="G101" s="40">
        <v>60.36</v>
      </c>
      <c r="H101" s="43">
        <v>3018</v>
      </c>
      <c r="I101" s="20" t="s">
        <v>277</v>
      </c>
      <c r="J101" s="9" t="s">
        <v>22</v>
      </c>
      <c r="K101" s="23" t="str">
        <f>HYPERLINK("https://drive.google.com/file/d/0Bxf6anvYj47HQk11T1JRSGdacW8/view?usp=sharing","Leja me nr. 05-351-5712")</f>
        <v>Leja me nr. 05-351-5712</v>
      </c>
      <c r="L101" s="24" t="s">
        <v>23</v>
      </c>
    </row>
    <row r="102" spans="1:12" ht="12.75" x14ac:dyDescent="0.2">
      <c r="A102" s="4">
        <v>96</v>
      </c>
      <c r="B102" s="5">
        <v>40942</v>
      </c>
      <c r="C102" s="20" t="s">
        <v>278</v>
      </c>
      <c r="D102" s="20" t="s">
        <v>278</v>
      </c>
      <c r="E102" s="20" t="s">
        <v>19</v>
      </c>
      <c r="F102" s="25" t="s">
        <v>175</v>
      </c>
      <c r="G102" s="40">
        <v>99.46</v>
      </c>
      <c r="H102" s="43">
        <v>4973</v>
      </c>
      <c r="I102" s="20" t="s">
        <v>136</v>
      </c>
      <c r="J102" s="9" t="s">
        <v>22</v>
      </c>
      <c r="K102" s="23" t="str">
        <f>HYPERLINK("https://drive.google.com/file/d/0Bxf6anvYj47HU3otajVrUy1GLVU/view?usp=sharing","Leja me nr. 05-351-20088")</f>
        <v>Leja me nr. 05-351-20088</v>
      </c>
      <c r="L102" s="24" t="s">
        <v>23</v>
      </c>
    </row>
    <row r="103" spans="1:12" ht="12.75" x14ac:dyDescent="0.2">
      <c r="A103" s="4">
        <v>97</v>
      </c>
      <c r="B103" s="5">
        <v>40941</v>
      </c>
      <c r="C103" s="20" t="s">
        <v>279</v>
      </c>
      <c r="D103" s="20" t="s">
        <v>279</v>
      </c>
      <c r="E103" s="20" t="s">
        <v>19</v>
      </c>
      <c r="F103" s="25" t="s">
        <v>175</v>
      </c>
      <c r="G103" s="40">
        <v>55.36</v>
      </c>
      <c r="H103" s="43">
        <v>2768</v>
      </c>
      <c r="I103" s="20" t="s">
        <v>136</v>
      </c>
      <c r="J103" s="29" t="s">
        <v>22</v>
      </c>
      <c r="K103" s="23" t="str">
        <f>HYPERLINK("https://drive.google.com/open?id=0Bxf6anvYj47HWXZRNkYtRzZlMEU","Leja me nr. 05-351-13243")</f>
        <v>Leja me nr. 05-351-13243</v>
      </c>
      <c r="L103" s="24" t="s">
        <v>23</v>
      </c>
    </row>
    <row r="104" spans="1:12" ht="25.5" x14ac:dyDescent="0.2">
      <c r="A104" s="4">
        <v>98</v>
      </c>
      <c r="B104" s="5">
        <v>40941</v>
      </c>
      <c r="C104" s="20" t="s">
        <v>280</v>
      </c>
      <c r="D104" s="20" t="s">
        <v>280</v>
      </c>
      <c r="E104" s="20" t="s">
        <v>281</v>
      </c>
      <c r="F104" s="25" t="s">
        <v>282</v>
      </c>
      <c r="G104" s="36" t="s">
        <v>44</v>
      </c>
      <c r="H104" s="42" t="s">
        <v>45</v>
      </c>
      <c r="I104" s="20" t="s">
        <v>283</v>
      </c>
      <c r="J104" s="29" t="s">
        <v>284</v>
      </c>
      <c r="K104" s="23" t="str">
        <f>HYPERLINK("https://drive.google.com/file/d/0Bxf6anvYj47HY1FuVURiTGphUE0/view?usp=sharing","Leja me nr. 05-351-22372")</f>
        <v>Leja me nr. 05-351-22372</v>
      </c>
      <c r="L104" s="26" t="str">
        <f>HYPERLINK("https://drive.google.com/file/d/0Bxf6anvYj47HeXQ0bTVEd0hENXM/view?usp=sharing","Situacioni")</f>
        <v>Situacioni</v>
      </c>
    </row>
    <row r="105" spans="1:12" ht="12.75" x14ac:dyDescent="0.2">
      <c r="A105" s="4">
        <v>99</v>
      </c>
      <c r="B105" s="5">
        <v>40940</v>
      </c>
      <c r="C105" s="20" t="s">
        <v>285</v>
      </c>
      <c r="D105" s="20" t="s">
        <v>286</v>
      </c>
      <c r="E105" s="20" t="s">
        <v>287</v>
      </c>
      <c r="F105" s="25" t="s">
        <v>58</v>
      </c>
      <c r="G105" s="37">
        <v>4602.6499999999996</v>
      </c>
      <c r="H105" s="43">
        <v>139173.41</v>
      </c>
      <c r="I105" s="20" t="s">
        <v>288</v>
      </c>
      <c r="J105" s="29" t="s">
        <v>17</v>
      </c>
      <c r="K105" s="27" t="str">
        <f>HYPERLINK("https://drive.google.com/file/d/0Bxf6anvYj47HZWhMMHNMN1hjUVk/view?usp=sharing","Leja me nr. 05-351-12377")</f>
        <v>Leja me nr. 05-351-12377</v>
      </c>
      <c r="L105" s="27" t="str">
        <f>HYPERLINK("https://drive.google.com/file/d/0Bxf6anvYj47Hdm5lbzc3QlVxNFE/view?usp=sharing","Situacioni")</f>
        <v>Situacioni</v>
      </c>
    </row>
    <row r="106" spans="1:12" ht="25.5" x14ac:dyDescent="0.2">
      <c r="A106" s="4">
        <v>100</v>
      </c>
      <c r="B106" s="5">
        <v>40927</v>
      </c>
      <c r="C106" s="48" t="s">
        <v>280</v>
      </c>
      <c r="D106" s="48" t="s">
        <v>280</v>
      </c>
      <c r="E106" s="48" t="s">
        <v>289</v>
      </c>
      <c r="F106" s="49" t="s">
        <v>282</v>
      </c>
      <c r="G106" s="50" t="s">
        <v>44</v>
      </c>
      <c r="H106" s="51" t="s">
        <v>45</v>
      </c>
      <c r="I106" s="48" t="s">
        <v>54</v>
      </c>
      <c r="J106" s="52" t="s">
        <v>290</v>
      </c>
      <c r="K106" s="53" t="str">
        <f>HYPERLINK("https://drive.google.com/file/d/0Bxf6anvYj47HZ19uOGR0dGVaYkU/view?usp=sharing","Leja me nr. 05-351-31590")</f>
        <v>Leja me nr. 05-351-31590</v>
      </c>
      <c r="L106" s="26" t="str">
        <f>HYPERLINK("https://drive.google.com/file/d/0Bxf6anvYj47HS1RuMjBnbXJianM/view?usp=sharing","Situacioni")</f>
        <v>Situacioni</v>
      </c>
    </row>
    <row r="107" spans="1:12" ht="15.75" customHeight="1" x14ac:dyDescent="0.25">
      <c r="D107" s="44"/>
      <c r="E107" s="44"/>
      <c r="F107" s="45" t="s">
        <v>291</v>
      </c>
      <c r="G107" s="46">
        <f>SUM(G7:G106)</f>
        <v>247867.4169999999</v>
      </c>
      <c r="H107" s="47">
        <f>SUM(H7:H106)</f>
        <v>6993290.5060000001</v>
      </c>
      <c r="I107" s="44"/>
    </row>
    <row r="108" spans="1:12" ht="15.75" customHeight="1" x14ac:dyDescent="0.2">
      <c r="D108" s="44"/>
      <c r="E108" s="44"/>
      <c r="F108" s="44"/>
      <c r="G108" s="44"/>
      <c r="H108" s="44"/>
      <c r="I108" s="44"/>
    </row>
    <row r="109" spans="1:12" ht="15.75" customHeight="1" x14ac:dyDescent="0.2">
      <c r="D109" s="44"/>
      <c r="E109" s="44"/>
      <c r="F109" s="44"/>
      <c r="G109" s="44"/>
      <c r="H109" s="44"/>
      <c r="I109" s="44"/>
    </row>
    <row r="110" spans="1:12" ht="15.75" customHeight="1" x14ac:dyDescent="0.2">
      <c r="D110" s="44"/>
      <c r="E110" s="44"/>
      <c r="F110" s="44"/>
      <c r="G110" s="44"/>
      <c r="H110" s="44"/>
      <c r="I110" s="44"/>
    </row>
    <row r="111" spans="1:12" ht="15.75" customHeight="1" x14ac:dyDescent="0.2">
      <c r="D111" s="44"/>
      <c r="E111" s="44"/>
      <c r="F111" s="44"/>
      <c r="G111" s="44"/>
      <c r="H111" s="44"/>
      <c r="I111" s="44"/>
    </row>
    <row r="112" spans="1:12" ht="15.75" customHeight="1" x14ac:dyDescent="0.2">
      <c r="D112" s="44"/>
      <c r="E112" s="44"/>
      <c r="F112" s="44"/>
      <c r="G112" s="44"/>
      <c r="H112" s="44"/>
      <c r="I112" s="44"/>
    </row>
  </sheetData>
  <autoFilter ref="B6:L107"/>
  <mergeCells count="3">
    <mergeCell ref="A1:J3"/>
    <mergeCell ref="K1:L5"/>
    <mergeCell ref="A4:J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e lejeve të lëshuara për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Albion n. Rexhepi</dc:creator>
  <cp:lastModifiedBy>Albion n. Rexhepi</cp:lastModifiedBy>
  <dcterms:created xsi:type="dcterms:W3CDTF">2017-11-06T08:44:14Z</dcterms:created>
  <dcterms:modified xsi:type="dcterms:W3CDTF">2017-11-06T08:44:58Z</dcterms:modified>
</cp:coreProperties>
</file>