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26" activeTab="0"/>
  </bookViews>
  <sheets>
    <sheet name="Buxheti 2018 " sheetId="1" r:id="rId1"/>
  </sheets>
  <definedNames/>
  <calcPr fullCalcOnLoad="1"/>
</workbook>
</file>

<file path=xl/sharedStrings.xml><?xml version="1.0" encoding="utf-8"?>
<sst xmlns="http://schemas.openxmlformats.org/spreadsheetml/2006/main" count="361" uniqueCount="322">
  <si>
    <t>S H P E N Z I M E T    K A P I T A L E</t>
  </si>
  <si>
    <t>Digjitalizimi i shërbimeve dhe proceseve të punës (Prishtina digjitale)</t>
  </si>
  <si>
    <t>Rregullimi dhe digjitalizimi i arkivave</t>
  </si>
  <si>
    <t>Projektet me bashkëfinancim</t>
  </si>
  <si>
    <t>Ndërtimi i kolektorit të lumit Prishtina dhe rruga mbi kolektor</t>
  </si>
  <si>
    <t>Projektet e regjenerimit urban</t>
  </si>
  <si>
    <t>Tregu i ri i qytetit</t>
  </si>
  <si>
    <t>Zgjerimi dhe modernizimi i rrjetit të ndriçimit publik</t>
  </si>
  <si>
    <t>Sinjalizimi horizontal dhe vertikal i rrugëve dhe vendbanimeve</t>
  </si>
  <si>
    <t>Rregullimi dhe kultivimi i sipërfaqeve gjelbëruese dhe parqeve të qytetit</t>
  </si>
  <si>
    <t>Pastrimi i shtratit të lumenjve dhe i kanalizimit atmosferik nga puseta në pusetë</t>
  </si>
  <si>
    <t>Rregullimi  dhe mirëmbajtja e ashensorëve</t>
  </si>
  <si>
    <t>Trajtimi i mbeturinave ndërtimore</t>
  </si>
  <si>
    <t>Shtyllat antiparking dhe shtyllat lëvizëse (në formë pistoni)</t>
  </si>
  <si>
    <t>Shpimi i puseve dhe ndërtimi i sistemit të ujitjes për gjelbërim</t>
  </si>
  <si>
    <t>Rregullimi i pompave për furnizim me ujë për ndërtesat kolektive</t>
  </si>
  <si>
    <t xml:space="preserve">Riparimi i shkallëve përreth  ndërtesave kolektive të tipit të vjetër </t>
  </si>
  <si>
    <t>Shpronësimi</t>
  </si>
  <si>
    <t>Furnizim me libra</t>
  </si>
  <si>
    <t>Organizime dhe manifestime kulturore dhe sportive</t>
  </si>
  <si>
    <t xml:space="preserve">Dekorimi i qytetit për festa </t>
  </si>
  <si>
    <t>Art në hapësira publike</t>
  </si>
  <si>
    <t>Galeria e Artit</t>
  </si>
  <si>
    <t>SEKTORI I PLANIFIKIMIT DHE MJEDISIT</t>
  </si>
  <si>
    <t>Funksionalizimi i databazës në GIS</t>
  </si>
  <si>
    <t>SEKTORI I ZHVILLIMIT TË QËNDRUESHËM</t>
  </si>
  <si>
    <t>Projektet me partneritet publiko-privat dhe dhënie në shfrytëzim</t>
  </si>
  <si>
    <t>Promovimi i punësimit të të rinjve</t>
  </si>
  <si>
    <t>Ndërtimi i këndeve të lodrave dhe fushave sportive në komunën e Prishtinës</t>
  </si>
  <si>
    <t xml:space="preserve">Prodhimi, furnizimi dhe vendosja e tabelave me emra të rrugëve në Komunën e Prishtinës </t>
  </si>
  <si>
    <t>Programi i edukimit të vazhdueshëm profesional dhe promovimit të shëndetit</t>
  </si>
  <si>
    <t>Programi i veçantë i banimit</t>
  </si>
  <si>
    <t>Furnizimi me inventar për nevojat e institucioneve shëndetësore dhe sociale</t>
  </si>
  <si>
    <t xml:space="preserve">Dezinsektimi hapësinor </t>
  </si>
  <si>
    <t>SHPENZIME  KAPITALE</t>
  </si>
  <si>
    <t>Furnizimi i bibliotekave shkollore</t>
  </si>
  <si>
    <t>Ndërtimi i sallave sportive për disa shkolla</t>
  </si>
  <si>
    <t>Vendosja e kamerave të sigurisë</t>
  </si>
  <si>
    <t>Pajisja e disa shkollave me rekuizita sportive</t>
  </si>
  <si>
    <t>Rikonstruktimi dhe gëlqerosja e shkollave</t>
  </si>
  <si>
    <t>Instalimet dhe renovimet e ngrohjes qendrore në shkolla</t>
  </si>
  <si>
    <t>BUXHETI SEKTORIAL - ARSIMI</t>
  </si>
  <si>
    <t xml:space="preserve">  Pozicionet  buxhetore</t>
  </si>
  <si>
    <t>Gjithsej</t>
  </si>
  <si>
    <t>DREJTORIA E SHËRBIMEVE PUBLIKE, MBROJTJES DHE SHPËTIMIT</t>
  </si>
  <si>
    <t>DREJTORIA E PRONËS</t>
  </si>
  <si>
    <t>DREJTORIA E PLANIFIKIMIT DHE ZHVILLIMIT TË QËNDRUESHËM</t>
  </si>
  <si>
    <t>SEKTORI I RINISË DHE SPORTEVE</t>
  </si>
  <si>
    <t>DREJTORIA E BUJQËSISË</t>
  </si>
  <si>
    <t xml:space="preserve">BUXHETI I KOMUNËS SË PRISHTINËS PËR VITIN 2018 </t>
  </si>
  <si>
    <t xml:space="preserve"> BUXHETI PËR VITIN  2018</t>
  </si>
  <si>
    <t>Burimet vetanake</t>
  </si>
  <si>
    <t>TË HYRAT</t>
  </si>
  <si>
    <t>Burimet e financimit sipas qarkores 2018/02</t>
  </si>
  <si>
    <t>Financimi nga huamarrja</t>
  </si>
  <si>
    <t>I</t>
  </si>
  <si>
    <t>BUXHETI I ADMINISTRATËS</t>
  </si>
  <si>
    <t>I.1</t>
  </si>
  <si>
    <t>PAGAT DHE MËDITJET</t>
  </si>
  <si>
    <t>Paga dhe mëditje</t>
  </si>
  <si>
    <t>I.2</t>
  </si>
  <si>
    <t>I.2.1</t>
  </si>
  <si>
    <t>Furnizime dhe inventar</t>
  </si>
  <si>
    <t>Furnizime për zyrë</t>
  </si>
  <si>
    <t>Furnizim me veshmbathje</t>
  </si>
  <si>
    <t>Furnizime të tjera</t>
  </si>
  <si>
    <t>Inventar për administratë komunale</t>
  </si>
  <si>
    <t xml:space="preserve">Furnizim me ushqim dhe pije </t>
  </si>
  <si>
    <t>I .2.2</t>
  </si>
  <si>
    <t>Pajisje</t>
  </si>
  <si>
    <t>Pajisje të TI-së për bashkësi lokale dhe administratë komunale</t>
  </si>
  <si>
    <t>I .2.3</t>
  </si>
  <si>
    <t>Shpenzimet e udhëtimit</t>
  </si>
  <si>
    <t>Shpenzimet e udhëtimit, akomodimit dhe mëditjeve jashtë vendit</t>
  </si>
  <si>
    <t>Shpenzimet e udhëtimit, akomodimit dhe mëditjeve brenda vendit</t>
  </si>
  <si>
    <t>I .2.4</t>
  </si>
  <si>
    <t>Shpenzimet për shërbime</t>
  </si>
  <si>
    <t>Shërbimet e arsimit dhe trajnimit</t>
  </si>
  <si>
    <t>Shërbimet e përfaqësimit dhe të avokaturës</t>
  </si>
  <si>
    <t>Shërbime të ndryshme intelektuale dhe këshillëdhënëse</t>
  </si>
  <si>
    <t>Shërbime teknike (pastrimi)</t>
  </si>
  <si>
    <t xml:space="preserve">Shpenzimet për anëtarësim </t>
  </si>
  <si>
    <t>Shpenzime për shërbime të legalizimit</t>
  </si>
  <si>
    <t>Shpenzime për shërbime të mbikëqyrjes së ndërtimit</t>
  </si>
  <si>
    <t>Menaxhimi i mbeturinave ( menaxhimi i projektit )</t>
  </si>
  <si>
    <t>I .2.5</t>
  </si>
  <si>
    <t>Derivate dhe lëndë djegëse</t>
  </si>
  <si>
    <t>Lëndë djegëse për ngrohje</t>
  </si>
  <si>
    <t>Karburant për automjete</t>
  </si>
  <si>
    <t>I .2.6</t>
  </si>
  <si>
    <t>Shërbimet e regjistrimit dhe sigurimeve</t>
  </si>
  <si>
    <t>Regjistrimi i automjeteve</t>
  </si>
  <si>
    <t>Sigurimi i automjeteve</t>
  </si>
  <si>
    <t>Sigurimi i ndërtesave</t>
  </si>
  <si>
    <t>I .2.7</t>
  </si>
  <si>
    <t>Shpenzimet e marketingut</t>
  </si>
  <si>
    <t>Reklamat dhe konkurset</t>
  </si>
  <si>
    <t>Shpenzimet për informim publik</t>
  </si>
  <si>
    <t>Shpenzimet për marrëdhënie me publikun</t>
  </si>
  <si>
    <t>I .2.8</t>
  </si>
  <si>
    <t>Shpenzimet e përfaqësimit</t>
  </si>
  <si>
    <t>Dreka zyrtare</t>
  </si>
  <si>
    <t>Dreka zyrtare jashtë vendit</t>
  </si>
  <si>
    <t>I .2.9</t>
  </si>
  <si>
    <t>Qiraja</t>
  </si>
  <si>
    <t>Qiraja për vetura</t>
  </si>
  <si>
    <t>Qiraja për pajisje dhe softuer</t>
  </si>
  <si>
    <t>I .2.10</t>
  </si>
  <si>
    <t>Shërbimet e telekomunikimit</t>
  </si>
  <si>
    <t>Shpenzimet për internet</t>
  </si>
  <si>
    <t>Shpenzimet e telefonisë mobile</t>
  </si>
  <si>
    <t>Shpenzimet postare</t>
  </si>
  <si>
    <t>I .2.11</t>
  </si>
  <si>
    <t>Mirëmbajtja</t>
  </si>
  <si>
    <t>Mirëmbajtja dhe riparimi i automjeteve</t>
  </si>
  <si>
    <t>Mirëmbajtja e ndërtesave (përfshirë institucionet kulturore dhe sportive)</t>
  </si>
  <si>
    <t>Mirëmbajtja e TI-së</t>
  </si>
  <si>
    <t xml:space="preserve">Mirëmbajtja e mobiljeve dhe pajisjeve </t>
  </si>
  <si>
    <t xml:space="preserve">Mirëmbajtja e semaforëve </t>
  </si>
  <si>
    <t>Mirëmbajtja dimërore e rrugëve dhe trotuareve, debllokimi i kanalizimit atmosferik (heqja e borës, fshirja e mbeturinave dhe larja sipas kushteve)</t>
  </si>
  <si>
    <t>Mirëmbajtja verore e rrugëve dhe trotuareve (fshirja, larja, pastrimi i kanal. atmosferik dhe pusetave)</t>
  </si>
  <si>
    <t>Mirëmbajtja e monumenteve, fontanave dhe krojeve publike dhe të tjera</t>
  </si>
  <si>
    <t>Mirëmbajtja e varrezave të qytetit</t>
  </si>
  <si>
    <t>I.3</t>
  </si>
  <si>
    <t>SHPENZIMET KOMUNALE</t>
  </si>
  <si>
    <t>Shpenzimi i energjisë elektrike për ndriçim  publik dhe semaforë</t>
  </si>
  <si>
    <t>Energjia  elektrike</t>
  </si>
  <si>
    <t>Uji</t>
  </si>
  <si>
    <t>Mbledhja e mbeturinave</t>
  </si>
  <si>
    <t>Telefonat fiks</t>
  </si>
  <si>
    <t>I.4</t>
  </si>
  <si>
    <t>I.4.1</t>
  </si>
  <si>
    <t>DREJTORIA E ADMINISTRATËS</t>
  </si>
  <si>
    <t>I.4.2</t>
  </si>
  <si>
    <t>DREJTORIA E INFRASTRUKTURËS LOKALE - INVESTIMEVE KAPITALE</t>
  </si>
  <si>
    <t>I.4.3</t>
  </si>
  <si>
    <t>I.4.4</t>
  </si>
  <si>
    <t>I.4.5</t>
  </si>
  <si>
    <t>I.4.6</t>
  </si>
  <si>
    <t>1.4.6.1</t>
  </si>
  <si>
    <t>1.4.6.2</t>
  </si>
  <si>
    <t>1.4.6.3</t>
  </si>
  <si>
    <t>I.4.7</t>
  </si>
  <si>
    <t>I.4.8</t>
  </si>
  <si>
    <t>DREJTORIA E URBANIZMIT</t>
  </si>
  <si>
    <t>I.5</t>
  </si>
  <si>
    <t>SUBVENCIONE DHE TRANSFERE</t>
  </si>
  <si>
    <t>I.5.1</t>
  </si>
  <si>
    <t>SUBVENCIONE DHE TRANSFERE PËR ADMINISTRATË</t>
  </si>
  <si>
    <t>I.5.2</t>
  </si>
  <si>
    <t>SUBVENCIONE DHE TRANSFERE PËR KULTURË</t>
  </si>
  <si>
    <t>Botime</t>
  </si>
  <si>
    <t>Muzikë</t>
  </si>
  <si>
    <t>Manifestime, organizime</t>
  </si>
  <si>
    <t>Film</t>
  </si>
  <si>
    <t>Teatër</t>
  </si>
  <si>
    <t>I.5.3</t>
  </si>
  <si>
    <t>SUBVENCIONE DHE TRANSFERE - PLANIFIKIM STRATEGJIK</t>
  </si>
  <si>
    <t>I.5.4</t>
  </si>
  <si>
    <t>SUBVENCIONE DHE TRANSFERE - RINI DHE SPORT</t>
  </si>
  <si>
    <t>I.5.5</t>
  </si>
  <si>
    <t>SUBVENCIONE DHE TRANSFERE - BUJQËSI DHE ZHVILLIM RURAL</t>
  </si>
  <si>
    <t>II</t>
  </si>
  <si>
    <t>BUXHETI SEKTORIAL - SHËNDETËSIA DHE MIRËQENIA SOCIALE</t>
  </si>
  <si>
    <t>II.1</t>
  </si>
  <si>
    <t>II.2</t>
  </si>
  <si>
    <t>MALLRA dhe SHËRBIME</t>
  </si>
  <si>
    <t>Barna dhe material shpenzues</t>
  </si>
  <si>
    <t>Shpenzimet laboratorike dhe Ro kabineti</t>
  </si>
  <si>
    <t>Barna urgjente dhe shërbime kontraktuese</t>
  </si>
  <si>
    <t>Dreka zyrtare (Dita e Shëndetësisë)</t>
  </si>
  <si>
    <t>Mirëmbajtja e ndërtesave</t>
  </si>
  <si>
    <t>Furnizim me material higjenik</t>
  </si>
  <si>
    <t>II.3</t>
  </si>
  <si>
    <t>SHPENZIME KOMUNALE</t>
  </si>
  <si>
    <t>Energjia elektrike</t>
  </si>
  <si>
    <t>Mbeturinat</t>
  </si>
  <si>
    <t>Ngrohja qendrore</t>
  </si>
  <si>
    <t>Telefon</t>
  </si>
  <si>
    <t>II.4</t>
  </si>
  <si>
    <t>II.5</t>
  </si>
  <si>
    <t>III</t>
  </si>
  <si>
    <t>III.1</t>
  </si>
  <si>
    <t>PAGA dhe MËDITJE</t>
  </si>
  <si>
    <t>III.2</t>
  </si>
  <si>
    <t>Furnizim me ushqim dhe pije për çerdhe, parafillor dhe fillor</t>
  </si>
  <si>
    <t>Inventar (mobilje)</t>
  </si>
  <si>
    <t>Shërbime teknike</t>
  </si>
  <si>
    <t>Blerje të tjera të mallrave dhe shërbimeve</t>
  </si>
  <si>
    <t>Shpenzime të imëta</t>
  </si>
  <si>
    <t>Mirëmbajtja e ndërtesave (pastrimi)</t>
  </si>
  <si>
    <t>III.3</t>
  </si>
  <si>
    <t>III.4</t>
  </si>
  <si>
    <t>III.5</t>
  </si>
  <si>
    <t>PLANIFIKIMI PER  2018</t>
  </si>
  <si>
    <t>31.03.2018</t>
  </si>
  <si>
    <t xml:space="preserve">Granti i përgjithshëm </t>
  </si>
  <si>
    <t>Granti për Shëndetësi dhe shërbime sociale</t>
  </si>
  <si>
    <t>Granti për Arsim</t>
  </si>
  <si>
    <t>Shpenzimet e shërbimeve për trajtim të shtazëve</t>
  </si>
  <si>
    <t>Shërbimet mbi marrëveshjeve të veçanta</t>
  </si>
  <si>
    <t>Shërbimet e këshillimeve dhe konsulentëve për PPP</t>
  </si>
  <si>
    <t>Shërbimet e pastrimeve të ndryshme</t>
  </si>
  <si>
    <t>Shpenzime të tjera kontraktuese</t>
  </si>
  <si>
    <t>Derivate për gjeneratorë</t>
  </si>
  <si>
    <t>Mirëmbajtja dhe rikonstruktimi i rrjetit të ndriçimit publik</t>
  </si>
  <si>
    <t>Nxehja qendrore</t>
  </si>
  <si>
    <t xml:space="preserve">Riparimi i objekteve të bashkësive lokale </t>
  </si>
  <si>
    <t>Pajisjet teknologjike për objektet komunale dhe të bashkësive lokale</t>
  </si>
  <si>
    <t>Infografikat dhe sinjalizimi në objektet e Komunës</t>
  </si>
  <si>
    <t>Furnizim me inventar për nevoja komunale</t>
  </si>
  <si>
    <t>Ndërtimi i rrugëve në pjesën rurale, me infrastrukturë përcjellëse</t>
  </si>
  <si>
    <t>Ndërtimi i rrugëve në pjesët urbane, me infrastrukturë përcjellëse</t>
  </si>
  <si>
    <t>Ndërtimi i infrastrukturës - projekte me bashkëfinancim</t>
  </si>
  <si>
    <t>Rruga mbi lumin Mat</t>
  </si>
  <si>
    <t>Projekte për Zyrën për komunitete dhe kthim</t>
  </si>
  <si>
    <t>Rrethrrotullimi "Lakërishtë" - Rrethrrotullimi "Arbëri"</t>
  </si>
  <si>
    <t>Hartimi i projekteve për infrastrukturë lokale</t>
  </si>
  <si>
    <t>Ndërtimi i rrjetit të kanalizimit në lagjet e reja</t>
  </si>
  <si>
    <t>Masat e efiqiences së energjisë në ndërtesat publike në nivelin komunal</t>
  </si>
  <si>
    <t>Ndërtimi i parqeve rekreativo-sportive në katër lagje të qytetit</t>
  </si>
  <si>
    <t>Blerja e autobusëve (TVSH për 21 autobusët e mbetur dhe shpenzime të sigurimit)</t>
  </si>
  <si>
    <t>Ndërtimi  i semaforëve dhe modernizimi, dhe pajisje të tjera për siguri në komunikacion</t>
  </si>
  <si>
    <t>Rregullimi i vendeve të kontejnerëve dhe furnizimi me kontejnerë mbitokësorë, nëntokësorë dhe shporta</t>
  </si>
  <si>
    <t>Furnizimi me makineri, pajisje dhe kamionë për bartjen e mbeturinave</t>
  </si>
  <si>
    <t>Trajtimi i kafshëve endacake</t>
  </si>
  <si>
    <t>Mbjellja e fidanëve (drurëve) në hapësirat e qytetit dhe parqet (Pyllëzimi urban)</t>
  </si>
  <si>
    <t>Shportat e mbeturinave të xhepit (bashkëfinancim me DEMOS) dhe ulëseve të parqeve</t>
  </si>
  <si>
    <t>Rregullimi dhe rrethimi i varrezave të komunës</t>
  </si>
  <si>
    <t>Ndërtimi i mureve rezistuese ndaj rrëshqitjes së dheut, vërshimeve etj</t>
  </si>
  <si>
    <t>Pajisje për zjarrëfikës</t>
  </si>
  <si>
    <t>Ndërtimi i vendkalimeve për këmbësorë-kabinave të autobusëve dhe rregullimi i infrastrukturës për transport (hartat informuese), vendosja e kamerave në kufizuesit e shpejtësisë</t>
  </si>
  <si>
    <t>Vendosja e kamerave të sigurisë në qytet</t>
  </si>
  <si>
    <t>Mobileria urbane (investimi në banka pushimi, shporta, pritore të autobusëve etj)</t>
  </si>
  <si>
    <t>Projektet me ndërmarrjen "Termokos" (zgjerimi i rrjetit)</t>
  </si>
  <si>
    <t>DREJTORIA E KULTURËS</t>
  </si>
  <si>
    <t>Kompjuterë per institucionet kulturore</t>
  </si>
  <si>
    <t>Pajisjet per institucionet kulturore</t>
  </si>
  <si>
    <t>Implementimi i standardit për siguri dhe mbrojtje të lëndës arkivore</t>
  </si>
  <si>
    <t>Plotësimi dhe ndryshimi i Planit zhvillimor komunal</t>
  </si>
  <si>
    <t>Hartimi i Hartës zonale të komunës së Prishtinës</t>
  </si>
  <si>
    <t>Plane rregulluese të hollësishme</t>
  </si>
  <si>
    <t>Incizime gjeodezike</t>
  </si>
  <si>
    <t>Konkurse për projektim (salla koncentrale, pishina olimpike, teatri i qytetit etj.)</t>
  </si>
  <si>
    <t>Shënimi i ditëve mjedisore, sipas kalendarit mjedisor</t>
  </si>
  <si>
    <t>Info-qendrat turistike dhe implementimi i strategjisë së turizmit</t>
  </si>
  <si>
    <t>Fushata vetëdijësuese për shfrytëzimin racional të ujit dhe energjisë</t>
  </si>
  <si>
    <t>Hartimi i projektit për realizimin e parkut botanik</t>
  </si>
  <si>
    <t>Identifikimi i hratave strategjike të zhurmës</t>
  </si>
  <si>
    <t>Gara për mjedis të pastër</t>
  </si>
  <si>
    <t>Përpilimi i broshurave me vlera natyrore të biodiversitetit</t>
  </si>
  <si>
    <t>Renovimi i këndeve të lodrave dhe terreneve sportive</t>
  </si>
  <si>
    <t>Projekti i bashkëfinancimit me ADA</t>
  </si>
  <si>
    <t xml:space="preserve">Furnizimi dhe montimi i rafteve për Arkivin e Drejtorisë së Urbanizmit -  Komuna e Prishtinës </t>
  </si>
  <si>
    <t xml:space="preserve">Prodhimi, furnizimi dhe vendosja e numrave të adresave në komunën e Prishtinës </t>
  </si>
  <si>
    <t>Arte vizuale, ekspozita</t>
  </si>
  <si>
    <t>Përkrahje në blegtori</t>
  </si>
  <si>
    <t>Përkrahje në bletari</t>
  </si>
  <si>
    <t>Vaksinimi i gjedheve, deleve, dhive dhe qenve me pronarë</t>
  </si>
  <si>
    <t xml:space="preserve"> Përkrahja e prodhimtarisë organike</t>
  </si>
  <si>
    <t>Përkrahja e fermerëve me sistem për ngrohje - serra</t>
  </si>
  <si>
    <t>Përkrahja e shoqatave të fermerëve</t>
  </si>
  <si>
    <t>Përkrahja e kultivuesëve të mjedrës me sistem të mbrojtjes nga breshëri</t>
  </si>
  <si>
    <t>Përkrahja e fermerëve me pajisje për ruajtjen e pemëve dhe perimeve</t>
  </si>
  <si>
    <t>Shpenzimet e stomatologjisë/material harxhues</t>
  </si>
  <si>
    <t>Shërbime të ndryshme shëndetësore (vizitat sistematike)</t>
  </si>
  <si>
    <t>Shpenzime të tjera kontraktuese (sociale)</t>
  </si>
  <si>
    <t>Mirëmbajtja e mobiljeve dhe pajisjeve (QKMF ka kontrata të tjera)</t>
  </si>
  <si>
    <t>Mirëmbajtja e teknologjisë informative - kompj.etj dhe internetit</t>
  </si>
  <si>
    <t>Furnizim me ushqim dhe pije  ( Vitit të Ri dhe mbushje aparateve)</t>
  </si>
  <si>
    <t>Mëditje për bartjen e pacientëve</t>
  </si>
  <si>
    <t>Furnizim me dru dhe pelet</t>
  </si>
  <si>
    <t>Deratizimi, dezinsektimi, dezinfektimi QMU (nuk përfshin kontratë)</t>
  </si>
  <si>
    <t>Shërbime përfaqsimit, avokaturës</t>
  </si>
  <si>
    <t>Ndërtimi i QKMF, Veternik</t>
  </si>
  <si>
    <t>Pajisje mjekësore për QKMF dhe QMU</t>
  </si>
  <si>
    <t>Deratizimi vjeshtor i bodrumeve dhe garazheve, deratizimi i kanalizimit, dezinfektimi dhe deratizimi i objekteve shëndetësore dhe arsimore</t>
  </si>
  <si>
    <t>Renovime dhe rindërtime</t>
  </si>
  <si>
    <t>Ndërtimi i Qendrës për persona me nevoja të veçanta (Syndroma DOWN dhe Autizmi)</t>
  </si>
  <si>
    <t>Digjitalizimi i institucioneve shëndetësore dhe sociale</t>
  </si>
  <si>
    <t>Ndërtimi i Qendrës sociale për të moshuar</t>
  </si>
  <si>
    <t>SUBVENCIONE DHE TRANSFERE PËR SHËRBIME SOCIALE DHE REZIDENCIALE</t>
  </si>
  <si>
    <t>Shërbime të ndryshme intelektuale dhe këshilldhënëse</t>
  </si>
  <si>
    <t>Ndërtimi i çerdheve (dhe adaptim i ndërtesave ekzistuese për çerdhe)</t>
  </si>
  <si>
    <t>Rregullimi i oborreve, rrethojave dhe terreneve sportive</t>
  </si>
  <si>
    <t>MALLRA DHE SHËRBIME</t>
  </si>
  <si>
    <t>Renovim i objekteve të trashëgimisë kulturore</t>
  </si>
  <si>
    <t>Ndërtimi i qendrave të kulturës</t>
  </si>
  <si>
    <t>Organizimi i panaireve</t>
  </si>
  <si>
    <t>Financimi i institucioneve komunale kulturore ("Dodona", QKF etj)</t>
  </si>
  <si>
    <t xml:space="preserve">Sponsorizimi institucioneve të pavarura kulturore, festivaleve dhe manifestimeve vjetore </t>
  </si>
  <si>
    <t>Konkursi për ndërtimin e Spitalit të qytetit + C272</t>
  </si>
  <si>
    <t>30.06.2018</t>
  </si>
  <si>
    <t>Shpenzimet TM2</t>
  </si>
  <si>
    <t>Totali</t>
  </si>
  <si>
    <t>Mallrat dhe sherbimet</t>
  </si>
  <si>
    <t>Shpenzimet komunale</t>
  </si>
  <si>
    <t xml:space="preserve">Subvencionet </t>
  </si>
  <si>
    <t>Investimet kapitale</t>
  </si>
  <si>
    <t>Shpenzimet total</t>
  </si>
  <si>
    <t xml:space="preserve">Mbetja </t>
  </si>
  <si>
    <t>Totali i financimeve buxhetore per vitin 2018</t>
  </si>
  <si>
    <t>Subvencionet mes transfereve interne të Qeverisë</t>
  </si>
  <si>
    <t>Shtesa e pagave me vendim të Qeverisë</t>
  </si>
  <si>
    <t>Blerja e dy autoambulancave për nevojat e QMU-së</t>
  </si>
  <si>
    <t>Sqarim:</t>
  </si>
  <si>
    <t>Pagat dhe mëditjetet</t>
  </si>
  <si>
    <t xml:space="preserve">Buxheti fillestra i miratuar në Kuvend është: 71,222,581.00 €, pas informimit të Ministrisë së Financave për ndarje shtesë në kategorinë e pagave dhe mëditjeve  </t>
  </si>
  <si>
    <t xml:space="preserve">në shumë prej 1,051,323.00 €, buxheti i Komunës së Prishtinës është: 72,273,904.00 €. </t>
  </si>
  <si>
    <t xml:space="preserve">Qeveria e Kosovës shkaku i ndotjese së ambientit në Prishtinë, nepermjete te MMPH-së, ka transferuar në kategorinë e subvencioneve shumën prej 31,795.00 €, shkaku i mos </t>
  </si>
  <si>
    <t>qarkullimit të automjeteve dhe bartjese falas nga Trafiku Urban për qytetarët e Prishtinës.</t>
  </si>
  <si>
    <t xml:space="preserve">Ministri i Financave me vendim për plotësim nga kategoria e shpenzimeve të rezervës, në kategorinë e subvencioneve ka transferuar shumën prej 6,450.00 €, në shkollen fillore </t>
  </si>
  <si>
    <t>"Hasan Prishtina" për mbulimin e shpenzimeve për 50-vjetorin e themelimit të shkollës.</t>
  </si>
  <si>
    <t>30.09.2018</t>
  </si>
  <si>
    <t>Shpenzimet TM3</t>
  </si>
  <si>
    <t xml:space="preserve">Shpenzimet    TM1 </t>
  </si>
  <si>
    <t>31.12.2018</t>
  </si>
  <si>
    <t>Administrat</t>
  </si>
  <si>
    <t>Shendetsia</t>
  </si>
  <si>
    <t>Arsimi</t>
  </si>
  <si>
    <t>Shpenzimet TM4</t>
  </si>
  <si>
    <t>Kategorite ekonomike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</si>
</sst>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[$-409]dddd\,\ mmmm\ dd\,\ yyyy"/>
    <numFmt numFmtId="176" formatCode="[$-409]h:mm:ss\ AM/PM"/>
    <numFmt numFmtId="177" formatCode="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00_);_(* \(#,##0.000\);_(* &quot;-&quot;??_);_(@_)"/>
    <numFmt numFmtId="184" formatCode="0_);\(0\)"/>
    <numFmt numFmtId="185" formatCode="_(* #,##0.0_);_(* \(#,##0.0\);_(* &quot;-&quot;?_);_(@_)"/>
    <numFmt numFmtId="186" formatCode="_-* #,##0_-;\-* #,##0_-;_-* &quot;-&quot;??_-;_-@_-"/>
    <numFmt numFmtId="187" formatCode="_-* #,##0.00_-;\-* #,##0.00_-;_-* &quot;-&quot;??_-;_-@_-"/>
    <numFmt numFmtId="188" formatCode="_([$€-2]\ * #,##0_);_([$€-2]\ * \(#,##0\);_([$€-2]\ * &quot;-&quot;??_);_(@_)"/>
    <numFmt numFmtId="189" formatCode="_([$€-2]\ * #,##0.00_);_([$€-2]\ * \(#,##0.00\);_([$€-2]\ * &quot;-&quot;??_);_(@_)"/>
    <numFmt numFmtId="190" formatCode="0.0"/>
    <numFmt numFmtId="191" formatCode="_(* #,##0.0000_);_(* \(#,##0.00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u val="singleAccounting"/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Book Antiqu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Book Antiqua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5">
    <xf numFmtId="0" fontId="0" fillId="0" borderId="0" xfId="0" applyFont="1" applyAlignment="1">
      <alignment/>
    </xf>
    <xf numFmtId="172" fontId="3" fillId="0" borderId="10" xfId="42" applyNumberFormat="1" applyFont="1" applyFill="1" applyBorder="1" applyAlignment="1">
      <alignment horizontal="center"/>
    </xf>
    <xf numFmtId="172" fontId="2" fillId="33" borderId="10" xfId="42" applyNumberFormat="1" applyFont="1" applyFill="1" applyBorder="1" applyAlignment="1">
      <alignment/>
    </xf>
    <xf numFmtId="172" fontId="2" fillId="33" borderId="11" xfId="42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72" fontId="2" fillId="33" borderId="13" xfId="42" applyNumberFormat="1" applyFont="1" applyFill="1" applyBorder="1" applyAlignment="1">
      <alignment/>
    </xf>
    <xf numFmtId="172" fontId="2" fillId="33" borderId="14" xfId="42" applyNumberFormat="1" applyFont="1" applyFill="1" applyBorder="1" applyAlignment="1">
      <alignment/>
    </xf>
    <xf numFmtId="172" fontId="2" fillId="33" borderId="12" xfId="42" applyNumberFormat="1" applyFont="1" applyFill="1" applyBorder="1" applyAlignment="1" applyProtection="1">
      <alignment/>
      <protection/>
    </xf>
    <xf numFmtId="172" fontId="2" fillId="33" borderId="15" xfId="42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172" fontId="2" fillId="33" borderId="14" xfId="42" applyNumberFormat="1" applyFont="1" applyFill="1" applyBorder="1" applyAlignment="1" applyProtection="1">
      <alignment/>
      <protection/>
    </xf>
    <xf numFmtId="172" fontId="2" fillId="33" borderId="13" xfId="42" applyNumberFormat="1" applyFont="1" applyFill="1" applyBorder="1" applyAlignment="1" applyProtection="1">
      <alignment/>
      <protection/>
    </xf>
    <xf numFmtId="172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172" fontId="2" fillId="33" borderId="16" xfId="42" applyNumberFormat="1" applyFont="1" applyFill="1" applyBorder="1" applyAlignment="1" applyProtection="1">
      <alignment/>
      <protection/>
    </xf>
    <xf numFmtId="0" fontId="2" fillId="33" borderId="17" xfId="0" applyFont="1" applyFill="1" applyBorder="1" applyAlignment="1">
      <alignment horizontal="left"/>
    </xf>
    <xf numFmtId="172" fontId="2" fillId="33" borderId="18" xfId="42" applyNumberFormat="1" applyFont="1" applyFill="1" applyBorder="1" applyAlignment="1">
      <alignment/>
    </xf>
    <xf numFmtId="172" fontId="2" fillId="33" borderId="0" xfId="42" applyNumberFormat="1" applyFont="1" applyFill="1" applyBorder="1" applyAlignment="1">
      <alignment/>
    </xf>
    <xf numFmtId="172" fontId="2" fillId="33" borderId="17" xfId="42" applyNumberFormat="1" applyFont="1" applyFill="1" applyBorder="1" applyAlignment="1" applyProtection="1">
      <alignment/>
      <protection/>
    </xf>
    <xf numFmtId="172" fontId="2" fillId="33" borderId="19" xfId="42" applyNumberFormat="1" applyFont="1" applyFill="1" applyBorder="1" applyAlignment="1" applyProtection="1">
      <alignment/>
      <protection/>
    </xf>
    <xf numFmtId="172" fontId="2" fillId="33" borderId="20" xfId="42" applyNumberFormat="1" applyFont="1" applyFill="1" applyBorder="1" applyAlignment="1">
      <alignment/>
    </xf>
    <xf numFmtId="172" fontId="2" fillId="33" borderId="16" xfId="42" applyNumberFormat="1" applyFont="1" applyFill="1" applyBorder="1" applyAlignment="1">
      <alignment/>
    </xf>
    <xf numFmtId="172" fontId="2" fillId="33" borderId="20" xfId="42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 horizontal="left"/>
    </xf>
    <xf numFmtId="172" fontId="2" fillId="33" borderId="1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52" fillId="33" borderId="16" xfId="0" applyFont="1" applyFill="1" applyBorder="1" applyAlignment="1">
      <alignment/>
    </xf>
    <xf numFmtId="172" fontId="52" fillId="33" borderId="16" xfId="42" applyNumberFormat="1" applyFont="1" applyFill="1" applyBorder="1" applyAlignment="1">
      <alignment/>
    </xf>
    <xf numFmtId="172" fontId="52" fillId="33" borderId="20" xfId="42" applyNumberFormat="1" applyFont="1" applyFill="1" applyBorder="1" applyAlignment="1">
      <alignment/>
    </xf>
    <xf numFmtId="172" fontId="2" fillId="33" borderId="21" xfId="42" applyNumberFormat="1" applyFont="1" applyFill="1" applyBorder="1" applyAlignment="1">
      <alignment/>
    </xf>
    <xf numFmtId="172" fontId="2" fillId="33" borderId="17" xfId="42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6" xfId="0" applyFont="1" applyFill="1" applyBorder="1" applyAlignment="1">
      <alignment horizontal="left" wrapText="1"/>
    </xf>
    <xf numFmtId="172" fontId="2" fillId="33" borderId="19" xfId="42" applyNumberFormat="1" applyFont="1" applyFill="1" applyBorder="1" applyAlignment="1">
      <alignment/>
    </xf>
    <xf numFmtId="0" fontId="53" fillId="33" borderId="12" xfId="0" applyFont="1" applyFill="1" applyBorder="1" applyAlignment="1">
      <alignment vertical="center" wrapText="1"/>
    </xf>
    <xf numFmtId="172" fontId="2" fillId="33" borderId="14" xfId="42" applyNumberFormat="1" applyFont="1" applyFill="1" applyBorder="1" applyAlignment="1">
      <alignment horizontal="right" vertical="top" wrapText="1"/>
    </xf>
    <xf numFmtId="172" fontId="2" fillId="33" borderId="15" xfId="42" applyNumberFormat="1" applyFont="1" applyFill="1" applyBorder="1" applyAlignment="1">
      <alignment horizontal="right" vertical="top" wrapText="1"/>
    </xf>
    <xf numFmtId="0" fontId="53" fillId="33" borderId="16" xfId="0" applyFont="1" applyFill="1" applyBorder="1" applyAlignment="1">
      <alignment vertical="center"/>
    </xf>
    <xf numFmtId="172" fontId="2" fillId="33" borderId="13" xfId="42" applyNumberFormat="1" applyFont="1" applyFill="1" applyBorder="1" applyAlignment="1">
      <alignment horizontal="right" vertical="top" wrapText="1"/>
    </xf>
    <xf numFmtId="0" fontId="53" fillId="33" borderId="17" xfId="0" applyFont="1" applyFill="1" applyBorder="1" applyAlignment="1">
      <alignment vertical="center"/>
    </xf>
    <xf numFmtId="172" fontId="2" fillId="33" borderId="16" xfId="42" applyNumberFormat="1" applyFont="1" applyFill="1" applyBorder="1" applyAlignment="1">
      <alignment horizontal="right" vertical="top" wrapText="1"/>
    </xf>
    <xf numFmtId="172" fontId="2" fillId="33" borderId="20" xfId="42" applyNumberFormat="1" applyFont="1" applyFill="1" applyBorder="1" applyAlignment="1">
      <alignment horizontal="right" vertical="top" wrapText="1"/>
    </xf>
    <xf numFmtId="0" fontId="0" fillId="33" borderId="14" xfId="0" applyFill="1" applyBorder="1" applyAlignment="1">
      <alignment/>
    </xf>
    <xf numFmtId="172" fontId="2" fillId="33" borderId="22" xfId="42" applyNumberFormat="1" applyFont="1" applyFill="1" applyBorder="1" applyAlignment="1">
      <alignment/>
    </xf>
    <xf numFmtId="172" fontId="2" fillId="33" borderId="23" xfId="42" applyNumberFormat="1" applyFont="1" applyFill="1" applyBorder="1" applyAlignment="1">
      <alignment/>
    </xf>
    <xf numFmtId="37" fontId="2" fillId="33" borderId="14" xfId="42" applyNumberFormat="1" applyFont="1" applyFill="1" applyBorder="1" applyAlignment="1">
      <alignment/>
    </xf>
    <xf numFmtId="37" fontId="2" fillId="33" borderId="13" xfId="42" applyNumberFormat="1" applyFont="1" applyFill="1" applyBorder="1" applyAlignment="1">
      <alignment/>
    </xf>
    <xf numFmtId="37" fontId="2" fillId="33" borderId="16" xfId="42" applyNumberFormat="1" applyFont="1" applyFill="1" applyBorder="1" applyAlignment="1">
      <alignment/>
    </xf>
    <xf numFmtId="37" fontId="2" fillId="33" borderId="20" xfId="4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2" fontId="2" fillId="33" borderId="12" xfId="42" applyNumberFormat="1" applyFont="1" applyFill="1" applyBorder="1" applyAlignment="1">
      <alignment/>
    </xf>
    <xf numFmtId="172" fontId="2" fillId="33" borderId="24" xfId="42" applyNumberFormat="1" applyFont="1" applyFill="1" applyBorder="1" applyAlignment="1">
      <alignment/>
    </xf>
    <xf numFmtId="172" fontId="2" fillId="33" borderId="16" xfId="42" applyNumberFormat="1" applyFont="1" applyFill="1" applyBorder="1" applyAlignment="1">
      <alignment horizontal="right"/>
    </xf>
    <xf numFmtId="172" fontId="2" fillId="33" borderId="20" xfId="42" applyNumberFormat="1" applyFont="1" applyFill="1" applyBorder="1" applyAlignment="1">
      <alignment horizontal="right"/>
    </xf>
    <xf numFmtId="172" fontId="2" fillId="33" borderId="13" xfId="42" applyNumberFormat="1" applyFont="1" applyFill="1" applyBorder="1" applyAlignment="1">
      <alignment horizontal="right"/>
    </xf>
    <xf numFmtId="172" fontId="2" fillId="33" borderId="14" xfId="42" applyNumberFormat="1" applyFont="1" applyFill="1" applyBorder="1" applyAlignment="1">
      <alignment horizontal="right"/>
    </xf>
    <xf numFmtId="172" fontId="2" fillId="33" borderId="21" xfId="4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2" fontId="2" fillId="0" borderId="15" xfId="42" applyNumberFormat="1" applyFont="1" applyFill="1" applyBorder="1" applyAlignment="1">
      <alignment/>
    </xf>
    <xf numFmtId="172" fontId="2" fillId="0" borderId="20" xfId="42" applyNumberFormat="1" applyFont="1" applyFill="1" applyBorder="1" applyAlignment="1">
      <alignment/>
    </xf>
    <xf numFmtId="172" fontId="2" fillId="0" borderId="21" xfId="42" applyNumberFormat="1" applyFont="1" applyFill="1" applyBorder="1" applyAlignment="1">
      <alignment/>
    </xf>
    <xf numFmtId="172" fontId="2" fillId="0" borderId="13" xfId="42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172" fontId="2" fillId="0" borderId="19" xfId="42" applyNumberFormat="1" applyFont="1" applyFill="1" applyBorder="1" applyAlignment="1">
      <alignment/>
    </xf>
    <xf numFmtId="172" fontId="2" fillId="0" borderId="16" xfId="42" applyNumberFormat="1" applyFont="1" applyFill="1" applyBorder="1" applyAlignment="1">
      <alignment/>
    </xf>
    <xf numFmtId="172" fontId="2" fillId="0" borderId="17" xfId="42" applyNumberFormat="1" applyFont="1" applyFill="1" applyBorder="1" applyAlignment="1">
      <alignment/>
    </xf>
    <xf numFmtId="172" fontId="2" fillId="0" borderId="14" xfId="42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72" fontId="3" fillId="0" borderId="30" xfId="42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172" fontId="2" fillId="0" borderId="11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86" fontId="2" fillId="0" borderId="18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2" fillId="0" borderId="18" xfId="42" applyNumberFormat="1" applyFont="1" applyFill="1" applyBorder="1" applyAlignment="1">
      <alignment/>
    </xf>
    <xf numFmtId="186" fontId="2" fillId="33" borderId="18" xfId="0" applyNumberFormat="1" applyFont="1" applyFill="1" applyBorder="1" applyAlignment="1">
      <alignment/>
    </xf>
    <xf numFmtId="186" fontId="2" fillId="0" borderId="19" xfId="0" applyNumberFormat="1" applyFont="1" applyFill="1" applyBorder="1" applyAlignment="1">
      <alignment/>
    </xf>
    <xf numFmtId="186" fontId="2" fillId="33" borderId="19" xfId="0" applyNumberFormat="1" applyFont="1" applyFill="1" applyBorder="1" applyAlignment="1">
      <alignment/>
    </xf>
    <xf numFmtId="172" fontId="2" fillId="0" borderId="24" xfId="42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72" fontId="2" fillId="33" borderId="19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33" xfId="42" applyNumberFormat="1" applyFont="1" applyFill="1" applyBorder="1" applyAlignment="1">
      <alignment/>
    </xf>
    <xf numFmtId="172" fontId="2" fillId="0" borderId="25" xfId="42" applyNumberFormat="1" applyFont="1" applyFill="1" applyBorder="1" applyAlignment="1">
      <alignment/>
    </xf>
    <xf numFmtId="172" fontId="2" fillId="33" borderId="21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right"/>
    </xf>
    <xf numFmtId="0" fontId="0" fillId="33" borderId="35" xfId="0" applyFill="1" applyBorder="1" applyAlignment="1">
      <alignment/>
    </xf>
    <xf numFmtId="0" fontId="2" fillId="33" borderId="28" xfId="0" applyFont="1" applyFill="1" applyBorder="1" applyAlignment="1">
      <alignment horizontal="right"/>
    </xf>
    <xf numFmtId="0" fontId="0" fillId="33" borderId="36" xfId="0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186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86" fontId="2" fillId="0" borderId="16" xfId="0" applyNumberFormat="1" applyFont="1" applyFill="1" applyBorder="1" applyAlignment="1">
      <alignment/>
    </xf>
    <xf numFmtId="186" fontId="2" fillId="0" borderId="2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86" fontId="2" fillId="0" borderId="24" xfId="0" applyNumberFormat="1" applyFont="1" applyFill="1" applyBorder="1" applyAlignment="1">
      <alignment/>
    </xf>
    <xf numFmtId="186" fontId="2" fillId="0" borderId="21" xfId="0" applyNumberFormat="1" applyFont="1" applyFill="1" applyBorder="1" applyAlignment="1">
      <alignment/>
    </xf>
    <xf numFmtId="172" fontId="2" fillId="0" borderId="22" xfId="42" applyNumberFormat="1" applyFont="1" applyFill="1" applyBorder="1" applyAlignment="1">
      <alignment/>
    </xf>
    <xf numFmtId="172" fontId="2" fillId="0" borderId="23" xfId="42" applyNumberFormat="1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172" fontId="2" fillId="0" borderId="23" xfId="42" applyNumberFormat="1" applyFont="1" applyFill="1" applyBorder="1" applyAlignment="1">
      <alignment horizontal="right"/>
    </xf>
    <xf numFmtId="186" fontId="2" fillId="33" borderId="15" xfId="0" applyNumberFormat="1" applyFont="1" applyFill="1" applyBorder="1" applyAlignment="1">
      <alignment/>
    </xf>
    <xf numFmtId="186" fontId="2" fillId="0" borderId="13" xfId="0" applyNumberFormat="1" applyFont="1" applyFill="1" applyBorder="1" applyAlignment="1">
      <alignment/>
    </xf>
    <xf numFmtId="172" fontId="2" fillId="0" borderId="16" xfId="42" applyNumberFormat="1" applyFont="1" applyFill="1" applyBorder="1" applyAlignment="1">
      <alignment horizontal="center"/>
    </xf>
    <xf numFmtId="172" fontId="2" fillId="0" borderId="14" xfId="42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172" fontId="2" fillId="35" borderId="17" xfId="42" applyNumberFormat="1" applyFont="1" applyFill="1" applyBorder="1" applyAlignment="1">
      <alignment horizontal="right"/>
    </xf>
    <xf numFmtId="172" fontId="2" fillId="35" borderId="19" xfId="4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43" fontId="2" fillId="0" borderId="14" xfId="42" applyFont="1" applyFill="1" applyBorder="1" applyAlignment="1">
      <alignment horizontal="center"/>
    </xf>
    <xf numFmtId="43" fontId="2" fillId="0" borderId="16" xfId="42" applyFont="1" applyFill="1" applyBorder="1" applyAlignment="1">
      <alignment horizontal="center"/>
    </xf>
    <xf numFmtId="172" fontId="2" fillId="33" borderId="15" xfId="42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172" fontId="2" fillId="33" borderId="17" xfId="42" applyNumberFormat="1" applyFont="1" applyFill="1" applyBorder="1" applyAlignment="1">
      <alignment horizontal="right"/>
    </xf>
    <xf numFmtId="172" fontId="2" fillId="33" borderId="19" xfId="42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172" fontId="2" fillId="33" borderId="10" xfId="42" applyNumberFormat="1" applyFont="1" applyFill="1" applyBorder="1" applyAlignment="1">
      <alignment horizontal="center"/>
    </xf>
    <xf numFmtId="186" fontId="2" fillId="33" borderId="10" xfId="0" applyNumberFormat="1" applyFont="1" applyFill="1" applyBorder="1" applyAlignment="1">
      <alignment/>
    </xf>
    <xf numFmtId="43" fontId="2" fillId="33" borderId="16" xfId="42" applyFont="1" applyFill="1" applyBorder="1" applyAlignment="1">
      <alignment/>
    </xf>
    <xf numFmtId="186" fontId="2" fillId="33" borderId="20" xfId="0" applyNumberFormat="1" applyFont="1" applyFill="1" applyBorder="1" applyAlignment="1">
      <alignment/>
    </xf>
    <xf numFmtId="172" fontId="2" fillId="33" borderId="16" xfId="42" applyNumberFormat="1" applyFont="1" applyFill="1" applyBorder="1" applyAlignment="1">
      <alignment horizontal="center"/>
    </xf>
    <xf numFmtId="172" fontId="2" fillId="33" borderId="20" xfId="42" applyNumberFormat="1" applyFont="1" applyFill="1" applyBorder="1" applyAlignment="1">
      <alignment horizontal="center"/>
    </xf>
    <xf numFmtId="43" fontId="2" fillId="33" borderId="12" xfId="42" applyFont="1" applyFill="1" applyBorder="1" applyAlignment="1">
      <alignment/>
    </xf>
    <xf numFmtId="186" fontId="2" fillId="33" borderId="13" xfId="0" applyNumberFormat="1" applyFont="1" applyFill="1" applyBorder="1" applyAlignment="1">
      <alignment/>
    </xf>
    <xf numFmtId="43" fontId="2" fillId="33" borderId="17" xfId="42" applyFont="1" applyFill="1" applyBorder="1" applyAlignment="1">
      <alignment/>
    </xf>
    <xf numFmtId="0" fontId="2" fillId="33" borderId="25" xfId="0" applyFont="1" applyFill="1" applyBorder="1" applyAlignment="1">
      <alignment horizontal="right"/>
    </xf>
    <xf numFmtId="43" fontId="2" fillId="33" borderId="24" xfId="42" applyFont="1" applyFill="1" applyBorder="1" applyAlignment="1">
      <alignment/>
    </xf>
    <xf numFmtId="186" fontId="2" fillId="33" borderId="25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172" fontId="0" fillId="0" borderId="0" xfId="0" applyNumberFormat="1" applyAlignment="1">
      <alignment/>
    </xf>
    <xf numFmtId="43" fontId="0" fillId="0" borderId="22" xfId="42" applyFont="1" applyBorder="1" applyAlignment="1">
      <alignment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43" fontId="54" fillId="0" borderId="10" xfId="42" applyFont="1" applyBorder="1" applyAlignment="1">
      <alignment horizontal="center"/>
    </xf>
    <xf numFmtId="43" fontId="0" fillId="0" borderId="30" xfId="42" applyFont="1" applyBorder="1" applyAlignment="1">
      <alignment/>
    </xf>
    <xf numFmtId="43" fontId="50" fillId="0" borderId="30" xfId="42" applyFont="1" applyBorder="1" applyAlignment="1">
      <alignment/>
    </xf>
    <xf numFmtId="43" fontId="0" fillId="0" borderId="39" xfId="42" applyFont="1" applyBorder="1" applyAlignment="1">
      <alignment/>
    </xf>
    <xf numFmtId="43" fontId="0" fillId="0" borderId="40" xfId="42" applyFont="1" applyBorder="1" applyAlignment="1">
      <alignment/>
    </xf>
    <xf numFmtId="43" fontId="0" fillId="0" borderId="41" xfId="42" applyFont="1" applyBorder="1" applyAlignment="1">
      <alignment/>
    </xf>
    <xf numFmtId="186" fontId="0" fillId="0" borderId="0" xfId="0" applyNumberFormat="1" applyAlignment="1">
      <alignment/>
    </xf>
    <xf numFmtId="43" fontId="0" fillId="0" borderId="42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9" xfId="42" applyFont="1" applyBorder="1" applyAlignment="1">
      <alignment/>
    </xf>
    <xf numFmtId="43" fontId="0" fillId="33" borderId="19" xfId="42" applyFont="1" applyFill="1" applyBorder="1" applyAlignment="1">
      <alignment/>
    </xf>
    <xf numFmtId="43" fontId="0" fillId="33" borderId="15" xfId="42" applyFont="1" applyFill="1" applyBorder="1" applyAlignment="1">
      <alignment/>
    </xf>
    <xf numFmtId="43" fontId="0" fillId="33" borderId="20" xfId="42" applyFont="1" applyFill="1" applyBorder="1" applyAlignment="1">
      <alignment/>
    </xf>
    <xf numFmtId="172" fontId="0" fillId="33" borderId="16" xfId="42" applyNumberFormat="1" applyFont="1" applyFill="1" applyBorder="1" applyAlignment="1">
      <alignment/>
    </xf>
    <xf numFmtId="172" fontId="0" fillId="33" borderId="15" xfId="42" applyNumberFormat="1" applyFont="1" applyFill="1" applyBorder="1" applyAlignment="1">
      <alignment/>
    </xf>
    <xf numFmtId="172" fontId="0" fillId="33" borderId="20" xfId="42" applyNumberFormat="1" applyFont="1" applyFill="1" applyBorder="1" applyAlignment="1">
      <alignment/>
    </xf>
    <xf numFmtId="43" fontId="0" fillId="33" borderId="21" xfId="42" applyFont="1" applyFill="1" applyBorder="1" applyAlignment="1">
      <alignment/>
    </xf>
    <xf numFmtId="43" fontId="0" fillId="0" borderId="13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43" xfId="42" applyFont="1" applyBorder="1" applyAlignment="1">
      <alignment/>
    </xf>
    <xf numFmtId="43" fontId="0" fillId="0" borderId="10" xfId="42" applyFont="1" applyBorder="1" applyAlignment="1">
      <alignment/>
    </xf>
    <xf numFmtId="43" fontId="0" fillId="33" borderId="40" xfId="42" applyFont="1" applyFill="1" applyBorder="1" applyAlignment="1">
      <alignment/>
    </xf>
    <xf numFmtId="43" fontId="0" fillId="33" borderId="41" xfId="42" applyFont="1" applyFill="1" applyBorder="1" applyAlignment="1">
      <alignment/>
    </xf>
    <xf numFmtId="43" fontId="0" fillId="33" borderId="42" xfId="42" applyFont="1" applyFill="1" applyBorder="1" applyAlignment="1">
      <alignment/>
    </xf>
    <xf numFmtId="43" fontId="0" fillId="33" borderId="39" xfId="42" applyFont="1" applyFill="1" applyBorder="1" applyAlignment="1">
      <alignment/>
    </xf>
    <xf numFmtId="43" fontId="0" fillId="33" borderId="22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43" fontId="50" fillId="0" borderId="10" xfId="42" applyFont="1" applyFill="1" applyBorder="1" applyAlignment="1">
      <alignment/>
    </xf>
    <xf numFmtId="43" fontId="50" fillId="0" borderId="39" xfId="42" applyFont="1" applyFill="1" applyBorder="1" applyAlignment="1">
      <alignment/>
    </xf>
    <xf numFmtId="43" fontId="50" fillId="0" borderId="30" xfId="42" applyFont="1" applyFill="1" applyBorder="1" applyAlignment="1">
      <alignment/>
    </xf>
    <xf numFmtId="43" fontId="0" fillId="0" borderId="0" xfId="42" applyFont="1" applyAlignment="1">
      <alignment/>
    </xf>
    <xf numFmtId="43" fontId="50" fillId="0" borderId="0" xfId="42" applyFont="1" applyAlignment="1">
      <alignment/>
    </xf>
    <xf numFmtId="43" fontId="50" fillId="7" borderId="10" xfId="42" applyFont="1" applyFill="1" applyBorder="1" applyAlignment="1">
      <alignment/>
    </xf>
    <xf numFmtId="172" fontId="3" fillId="7" borderId="10" xfId="42" applyNumberFormat="1" applyFont="1" applyFill="1" applyBorder="1" applyAlignment="1">
      <alignment horizontal="center"/>
    </xf>
    <xf numFmtId="172" fontId="3" fillId="7" borderId="11" xfId="42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72" fontId="2" fillId="7" borderId="10" xfId="42" applyNumberFormat="1" applyFont="1" applyFill="1" applyBorder="1" applyAlignment="1">
      <alignment/>
    </xf>
    <xf numFmtId="172" fontId="3" fillId="7" borderId="11" xfId="42" applyNumberFormat="1" applyFont="1" applyFill="1" applyBorder="1" applyAlignment="1">
      <alignment/>
    </xf>
    <xf numFmtId="172" fontId="3" fillId="7" borderId="10" xfId="42" applyNumberFormat="1" applyFont="1" applyFill="1" applyBorder="1" applyAlignment="1">
      <alignment/>
    </xf>
    <xf numFmtId="0" fontId="3" fillId="7" borderId="11" xfId="0" applyFont="1" applyFill="1" applyBorder="1" applyAlignment="1">
      <alignment/>
    </xf>
    <xf numFmtId="172" fontId="3" fillId="7" borderId="10" xfId="42" applyNumberFormat="1" applyFont="1" applyFill="1" applyBorder="1" applyAlignment="1">
      <alignment horizontal="right"/>
    </xf>
    <xf numFmtId="186" fontId="3" fillId="7" borderId="11" xfId="0" applyNumberFormat="1" applyFont="1" applyFill="1" applyBorder="1" applyAlignment="1">
      <alignment/>
    </xf>
    <xf numFmtId="186" fontId="3" fillId="7" borderId="10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186" fontId="3" fillId="7" borderId="0" xfId="0" applyNumberFormat="1" applyFont="1" applyFill="1" applyBorder="1" applyAlignment="1">
      <alignment/>
    </xf>
    <xf numFmtId="186" fontId="3" fillId="7" borderId="18" xfId="0" applyNumberFormat="1" applyFont="1" applyFill="1" applyBorder="1" applyAlignment="1">
      <alignment/>
    </xf>
    <xf numFmtId="0" fontId="3" fillId="7" borderId="11" xfId="0" applyFont="1" applyFill="1" applyBorder="1" applyAlignment="1">
      <alignment wrapText="1"/>
    </xf>
    <xf numFmtId="172" fontId="2" fillId="7" borderId="11" xfId="42" applyNumberFormat="1" applyFont="1" applyFill="1" applyBorder="1" applyAlignment="1">
      <alignment/>
    </xf>
    <xf numFmtId="186" fontId="3" fillId="7" borderId="33" xfId="0" applyNumberFormat="1" applyFont="1" applyFill="1" applyBorder="1" applyAlignment="1">
      <alignment/>
    </xf>
    <xf numFmtId="186" fontId="3" fillId="7" borderId="25" xfId="0" applyNumberFormat="1" applyFont="1" applyFill="1" applyBorder="1" applyAlignment="1">
      <alignment/>
    </xf>
    <xf numFmtId="43" fontId="50" fillId="7" borderId="39" xfId="42" applyFont="1" applyFill="1" applyBorder="1" applyAlignment="1">
      <alignment/>
    </xf>
    <xf numFmtId="0" fontId="0" fillId="7" borderId="0" xfId="0" applyFill="1" applyAlignment="1">
      <alignment/>
    </xf>
    <xf numFmtId="0" fontId="3" fillId="7" borderId="23" xfId="0" applyFont="1" applyFill="1" applyBorder="1" applyAlignment="1">
      <alignment wrapText="1"/>
    </xf>
    <xf numFmtId="172" fontId="2" fillId="7" borderId="25" xfId="42" applyNumberFormat="1" applyFont="1" applyFill="1" applyBorder="1" applyAlignment="1">
      <alignment/>
    </xf>
    <xf numFmtId="172" fontId="2" fillId="7" borderId="33" xfId="42" applyNumberFormat="1" applyFont="1" applyFill="1" applyBorder="1" applyAlignment="1">
      <alignment/>
    </xf>
    <xf numFmtId="43" fontId="50" fillId="7" borderId="30" xfId="42" applyFont="1" applyFill="1" applyBorder="1" applyAlignment="1">
      <alignment/>
    </xf>
    <xf numFmtId="172" fontId="3" fillId="7" borderId="25" xfId="42" applyNumberFormat="1" applyFont="1" applyFill="1" applyBorder="1" applyAlignment="1">
      <alignment/>
    </xf>
    <xf numFmtId="172" fontId="3" fillId="7" borderId="33" xfId="42" applyNumberFormat="1" applyFont="1" applyFill="1" applyBorder="1" applyAlignment="1">
      <alignment/>
    </xf>
    <xf numFmtId="0" fontId="3" fillId="7" borderId="10" xfId="0" applyFont="1" applyFill="1" applyBorder="1" applyAlignment="1">
      <alignment horizontal="left"/>
    </xf>
    <xf numFmtId="43" fontId="3" fillId="7" borderId="11" xfId="42" applyFont="1" applyFill="1" applyBorder="1" applyAlignment="1">
      <alignment/>
    </xf>
    <xf numFmtId="0" fontId="3" fillId="7" borderId="23" xfId="0" applyFont="1" applyFill="1" applyBorder="1" applyAlignment="1">
      <alignment horizontal="center"/>
    </xf>
    <xf numFmtId="172" fontId="3" fillId="7" borderId="23" xfId="42" applyNumberFormat="1" applyFont="1" applyFill="1" applyBorder="1" applyAlignment="1">
      <alignment/>
    </xf>
    <xf numFmtId="172" fontId="3" fillId="7" borderId="22" xfId="42" applyNumberFormat="1" applyFont="1" applyFill="1" applyBorder="1" applyAlignment="1">
      <alignment/>
    </xf>
    <xf numFmtId="172" fontId="3" fillId="7" borderId="10" xfId="42" applyNumberFormat="1" applyFont="1" applyFill="1" applyBorder="1" applyAlignment="1">
      <alignment/>
    </xf>
    <xf numFmtId="172" fontId="3" fillId="7" borderId="11" xfId="42" applyNumberFormat="1" applyFont="1" applyFill="1" applyBorder="1" applyAlignment="1">
      <alignment/>
    </xf>
    <xf numFmtId="0" fontId="3" fillId="7" borderId="33" xfId="0" applyFont="1" applyFill="1" applyBorder="1" applyAlignment="1">
      <alignment/>
    </xf>
    <xf numFmtId="2" fontId="3" fillId="7" borderId="22" xfId="0" applyNumberFormat="1" applyFont="1" applyFill="1" applyBorder="1" applyAlignment="1">
      <alignment horizontal="left"/>
    </xf>
    <xf numFmtId="172" fontId="3" fillId="7" borderId="22" xfId="42" applyNumberFormat="1" applyFont="1" applyFill="1" applyBorder="1" applyAlignment="1">
      <alignment horizontal="center"/>
    </xf>
    <xf numFmtId="172" fontId="3" fillId="7" borderId="23" xfId="42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 vertical="center"/>
    </xf>
    <xf numFmtId="172" fontId="3" fillId="36" borderId="25" xfId="42" applyNumberFormat="1" applyFont="1" applyFill="1" applyBorder="1" applyAlignment="1">
      <alignment horizontal="center"/>
    </xf>
    <xf numFmtId="172" fontId="3" fillId="36" borderId="33" xfId="42" applyNumberFormat="1" applyFont="1" applyFill="1" applyBorder="1" applyAlignment="1">
      <alignment horizontal="center"/>
    </xf>
    <xf numFmtId="172" fontId="0" fillId="36" borderId="0" xfId="0" applyNumberFormat="1" applyFill="1" applyAlignment="1">
      <alignment/>
    </xf>
    <xf numFmtId="43" fontId="50" fillId="36" borderId="10" xfId="42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172" fontId="3" fillId="36" borderId="10" xfId="42" applyNumberFormat="1" applyFont="1" applyFill="1" applyBorder="1" applyAlignment="1">
      <alignment horizontal="center"/>
    </xf>
    <xf numFmtId="172" fontId="3" fillId="36" borderId="11" xfId="42" applyNumberFormat="1" applyFont="1" applyFill="1" applyBorder="1" applyAlignment="1">
      <alignment horizontal="center"/>
    </xf>
    <xf numFmtId="43" fontId="0" fillId="36" borderId="30" xfId="42" applyFont="1" applyFill="1" applyBorder="1" applyAlignment="1">
      <alignment/>
    </xf>
    <xf numFmtId="0" fontId="0" fillId="36" borderId="0" xfId="0" applyFill="1" applyAlignment="1">
      <alignment/>
    </xf>
    <xf numFmtId="0" fontId="3" fillId="36" borderId="22" xfId="0" applyFont="1" applyFill="1" applyBorder="1" applyAlignment="1">
      <alignment horizontal="left"/>
    </xf>
    <xf numFmtId="172" fontId="2" fillId="36" borderId="10" xfId="42" applyNumberFormat="1" applyFont="1" applyFill="1" applyBorder="1" applyAlignment="1">
      <alignment/>
    </xf>
    <xf numFmtId="172" fontId="2" fillId="36" borderId="11" xfId="42" applyNumberFormat="1" applyFont="1" applyFill="1" applyBorder="1" applyAlignment="1">
      <alignment/>
    </xf>
    <xf numFmtId="172" fontId="3" fillId="36" borderId="23" xfId="42" applyNumberFormat="1" applyFont="1" applyFill="1" applyBorder="1" applyAlignment="1">
      <alignment/>
    </xf>
    <xf numFmtId="172" fontId="3" fillId="36" borderId="22" xfId="42" applyNumberFormat="1" applyFont="1" applyFill="1" applyBorder="1" applyAlignment="1">
      <alignment/>
    </xf>
    <xf numFmtId="43" fontId="50" fillId="36" borderId="30" xfId="42" applyFont="1" applyFill="1" applyBorder="1" applyAlignment="1">
      <alignment/>
    </xf>
    <xf numFmtId="0" fontId="3" fillId="36" borderId="25" xfId="0" applyFont="1" applyFill="1" applyBorder="1" applyAlignment="1">
      <alignment horizontal="left"/>
    </xf>
    <xf numFmtId="172" fontId="3" fillId="36" borderId="10" xfId="42" applyNumberFormat="1" applyFont="1" applyFill="1" applyBorder="1" applyAlignment="1">
      <alignment/>
    </xf>
    <xf numFmtId="172" fontId="3" fillId="36" borderId="11" xfId="42" applyNumberFormat="1" applyFont="1" applyFill="1" applyBorder="1" applyAlignment="1">
      <alignment/>
    </xf>
    <xf numFmtId="43" fontId="50" fillId="36" borderId="44" xfId="42" applyFont="1" applyFill="1" applyBorder="1" applyAlignment="1">
      <alignment/>
    </xf>
    <xf numFmtId="43" fontId="0" fillId="36" borderId="0" xfId="0" applyNumberFormat="1" applyFill="1" applyAlignment="1">
      <alignment/>
    </xf>
    <xf numFmtId="0" fontId="3" fillId="36" borderId="11" xfId="0" applyFont="1" applyFill="1" applyBorder="1" applyAlignment="1">
      <alignment horizontal="left"/>
    </xf>
    <xf numFmtId="43" fontId="0" fillId="36" borderId="44" xfId="42" applyFont="1" applyFill="1" applyBorder="1" applyAlignment="1">
      <alignment/>
    </xf>
    <xf numFmtId="0" fontId="3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172" fontId="3" fillId="36" borderId="25" xfId="42" applyNumberFormat="1" applyFont="1" applyFill="1" applyBorder="1" applyAlignment="1">
      <alignment/>
    </xf>
    <xf numFmtId="172" fontId="3" fillId="36" borderId="33" xfId="42" applyNumberFormat="1" applyFont="1" applyFill="1" applyBorder="1" applyAlignment="1">
      <alignment/>
    </xf>
    <xf numFmtId="186" fontId="3" fillId="36" borderId="10" xfId="0" applyNumberFormat="1" applyFont="1" applyFill="1" applyBorder="1" applyAlignment="1">
      <alignment/>
    </xf>
    <xf numFmtId="43" fontId="3" fillId="7" borderId="11" xfId="42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172" fontId="3" fillId="7" borderId="11" xfId="42" applyNumberFormat="1" applyFont="1" applyFill="1" applyBorder="1" applyAlignment="1">
      <alignment horizontal="right"/>
    </xf>
    <xf numFmtId="186" fontId="3" fillId="7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/>
    </xf>
    <xf numFmtId="0" fontId="55" fillId="0" borderId="0" xfId="0" applyFont="1" applyAlignment="1">
      <alignment/>
    </xf>
    <xf numFmtId="43" fontId="55" fillId="0" borderId="0" xfId="42" applyFont="1" applyAlignment="1">
      <alignment/>
    </xf>
    <xf numFmtId="43" fontId="7" fillId="0" borderId="0" xfId="42" applyFont="1" applyFill="1" applyAlignment="1">
      <alignment horizontal="center"/>
    </xf>
    <xf numFmtId="172" fontId="8" fillId="0" borderId="0" xfId="42" applyNumberFormat="1" applyFont="1" applyFill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Alignment="1">
      <alignment horizontal="left" vertical="top"/>
    </xf>
    <xf numFmtId="43" fontId="9" fillId="0" borderId="0" xfId="42" applyFont="1" applyFill="1" applyBorder="1" applyAlignment="1">
      <alignment/>
    </xf>
    <xf numFmtId="0" fontId="55" fillId="0" borderId="0" xfId="0" applyFont="1" applyBorder="1" applyAlignment="1">
      <alignment/>
    </xf>
    <xf numFmtId="43" fontId="55" fillId="0" borderId="0" xfId="42" applyFont="1" applyBorder="1" applyAlignment="1">
      <alignment/>
    </xf>
    <xf numFmtId="43" fontId="50" fillId="0" borderId="26" xfId="42" applyFont="1" applyBorder="1" applyAlignment="1">
      <alignment horizontal="center"/>
    </xf>
    <xf numFmtId="172" fontId="0" fillId="0" borderId="45" xfId="42" applyNumberFormat="1" applyFont="1" applyBorder="1" applyAlignment="1">
      <alignment/>
    </xf>
    <xf numFmtId="172" fontId="0" fillId="0" borderId="34" xfId="42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43" fontId="50" fillId="0" borderId="10" xfId="42" applyFont="1" applyBorder="1" applyAlignment="1">
      <alignment horizontal="center"/>
    </xf>
    <xf numFmtId="43" fontId="0" fillId="36" borderId="10" xfId="42" applyFont="1" applyFill="1" applyBorder="1" applyAlignment="1">
      <alignment/>
    </xf>
    <xf numFmtId="172" fontId="0" fillId="7" borderId="0" xfId="0" applyNumberFormat="1" applyFill="1" applyAlignment="1">
      <alignment/>
    </xf>
    <xf numFmtId="0" fontId="3" fillId="7" borderId="22" xfId="0" applyFont="1" applyFill="1" applyBorder="1" applyAlignment="1">
      <alignment horizontal="left"/>
    </xf>
    <xf numFmtId="172" fontId="2" fillId="7" borderId="22" xfId="42" applyNumberFormat="1" applyFont="1" applyFill="1" applyBorder="1" applyAlignment="1">
      <alignment/>
    </xf>
    <xf numFmtId="172" fontId="2" fillId="7" borderId="23" xfId="42" applyNumberFormat="1" applyFont="1" applyFill="1" applyBorder="1" applyAlignment="1">
      <alignment/>
    </xf>
    <xf numFmtId="172" fontId="2" fillId="36" borderId="26" xfId="42" applyNumberFormat="1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37" fontId="3" fillId="36" borderId="11" xfId="42" applyNumberFormat="1" applyFont="1" applyFill="1" applyBorder="1" applyAlignment="1">
      <alignment/>
    </xf>
    <xf numFmtId="37" fontId="3" fillId="36" borderId="10" xfId="42" applyNumberFormat="1" applyFont="1" applyFill="1" applyBorder="1" applyAlignment="1">
      <alignment/>
    </xf>
    <xf numFmtId="0" fontId="50" fillId="36" borderId="33" xfId="0" applyFont="1" applyFill="1" applyBorder="1" applyAlignment="1">
      <alignment horizontal="center"/>
    </xf>
    <xf numFmtId="172" fontId="2" fillId="36" borderId="25" xfId="42" applyNumberFormat="1" applyFont="1" applyFill="1" applyBorder="1" applyAlignment="1">
      <alignment/>
    </xf>
    <xf numFmtId="172" fontId="2" fillId="36" borderId="33" xfId="42" applyNumberFormat="1" applyFont="1" applyFill="1" applyBorder="1" applyAlignment="1">
      <alignment/>
    </xf>
    <xf numFmtId="0" fontId="0" fillId="0" borderId="46" xfId="0" applyBorder="1" applyAlignment="1">
      <alignment/>
    </xf>
    <xf numFmtId="0" fontId="5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3" fillId="0" borderId="28" xfId="0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textRotation="30" wrapText="1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0" fillId="0" borderId="0" xfId="42" applyFont="1" applyAlignment="1">
      <alignment/>
    </xf>
    <xf numFmtId="0" fontId="3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 textRotation="30" wrapText="1"/>
    </xf>
    <xf numFmtId="0" fontId="2" fillId="33" borderId="10" xfId="0" applyFont="1" applyFill="1" applyBorder="1" applyAlignment="1">
      <alignment horizontal="center"/>
    </xf>
    <xf numFmtId="172" fontId="3" fillId="33" borderId="10" xfId="42" applyNumberFormat="1" applyFont="1" applyFill="1" applyBorder="1" applyAlignment="1">
      <alignment horizontal="center"/>
    </xf>
    <xf numFmtId="172" fontId="3" fillId="33" borderId="11" xfId="42" applyNumberFormat="1" applyFont="1" applyFill="1" applyBorder="1" applyAlignment="1">
      <alignment horizontal="center"/>
    </xf>
    <xf numFmtId="43" fontId="50" fillId="33" borderId="47" xfId="42" applyFont="1" applyFill="1" applyBorder="1" applyAlignment="1">
      <alignment/>
    </xf>
    <xf numFmtId="0" fontId="0" fillId="33" borderId="32" xfId="0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43" fontId="0" fillId="0" borderId="47" xfId="42" applyFont="1" applyBorder="1" applyAlignment="1">
      <alignment/>
    </xf>
    <xf numFmtId="0" fontId="0" fillId="0" borderId="32" xfId="0" applyBorder="1" applyAlignment="1">
      <alignment/>
    </xf>
    <xf numFmtId="172" fontId="3" fillId="33" borderId="22" xfId="42" applyNumberFormat="1" applyFont="1" applyFill="1" applyBorder="1" applyAlignment="1">
      <alignment horizontal="center"/>
    </xf>
    <xf numFmtId="172" fontId="3" fillId="33" borderId="23" xfId="42" applyNumberFormat="1" applyFont="1" applyFill="1" applyBorder="1" applyAlignment="1">
      <alignment horizontal="center"/>
    </xf>
    <xf numFmtId="43" fontId="50" fillId="33" borderId="48" xfId="42" applyFont="1" applyFill="1" applyBorder="1" applyAlignment="1">
      <alignment/>
    </xf>
    <xf numFmtId="0" fontId="0" fillId="33" borderId="0" xfId="0" applyFill="1" applyAlignment="1">
      <alignment/>
    </xf>
    <xf numFmtId="172" fontId="50" fillId="36" borderId="26" xfId="42" applyNumberFormat="1" applyFont="1" applyFill="1" applyBorder="1" applyAlignment="1">
      <alignment/>
    </xf>
    <xf numFmtId="172" fontId="50" fillId="36" borderId="10" xfId="42" applyNumberFormat="1" applyFont="1" applyFill="1" applyBorder="1" applyAlignment="1">
      <alignment/>
    </xf>
    <xf numFmtId="172" fontId="50" fillId="7" borderId="26" xfId="42" applyNumberFormat="1" applyFont="1" applyFill="1" applyBorder="1" applyAlignment="1">
      <alignment/>
    </xf>
    <xf numFmtId="172" fontId="50" fillId="7" borderId="10" xfId="42" applyNumberFormat="1" applyFont="1" applyFill="1" applyBorder="1" applyAlignment="1">
      <alignment/>
    </xf>
    <xf numFmtId="172" fontId="0" fillId="0" borderId="28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20" xfId="42" applyNumberFormat="1" applyFont="1" applyBorder="1" applyAlignment="1">
      <alignment/>
    </xf>
    <xf numFmtId="172" fontId="0" fillId="0" borderId="49" xfId="42" applyNumberFormat="1" applyFont="1" applyBorder="1" applyAlignment="1">
      <alignment/>
    </xf>
    <xf numFmtId="172" fontId="0" fillId="0" borderId="19" xfId="42" applyNumberFormat="1" applyFont="1" applyBorder="1" applyAlignment="1">
      <alignment/>
    </xf>
    <xf numFmtId="172" fontId="0" fillId="0" borderId="13" xfId="42" applyNumberFormat="1" applyFont="1" applyBorder="1" applyAlignment="1">
      <alignment horizontal="center"/>
    </xf>
    <xf numFmtId="172" fontId="50" fillId="7" borderId="10" xfId="42" applyNumberFormat="1" applyFont="1" applyFill="1" applyBorder="1" applyAlignment="1">
      <alignment horizontal="center"/>
    </xf>
    <xf numFmtId="172" fontId="0" fillId="7" borderId="10" xfId="42" applyNumberFormat="1" applyFont="1" applyFill="1" applyBorder="1" applyAlignment="1">
      <alignment/>
    </xf>
    <xf numFmtId="172" fontId="0" fillId="7" borderId="26" xfId="42" applyNumberFormat="1" applyFont="1" applyFill="1" applyBorder="1" applyAlignment="1">
      <alignment/>
    </xf>
    <xf numFmtId="172" fontId="0" fillId="0" borderId="19" xfId="42" applyNumberFormat="1" applyFont="1" applyBorder="1" applyAlignment="1">
      <alignment/>
    </xf>
    <xf numFmtId="172" fontId="0" fillId="0" borderId="27" xfId="42" applyNumberFormat="1" applyFont="1" applyBorder="1" applyAlignment="1">
      <alignment/>
    </xf>
    <xf numFmtId="172" fontId="0" fillId="36" borderId="26" xfId="42" applyNumberFormat="1" applyFont="1" applyFill="1" applyBorder="1" applyAlignment="1">
      <alignment/>
    </xf>
    <xf numFmtId="172" fontId="0" fillId="36" borderId="10" xfId="42" applyNumberFormat="1" applyFont="1" applyFill="1" applyBorder="1" applyAlignment="1">
      <alignment/>
    </xf>
    <xf numFmtId="172" fontId="0" fillId="0" borderId="20" xfId="42" applyNumberFormat="1" applyFont="1" applyBorder="1" applyAlignment="1">
      <alignment/>
    </xf>
    <xf numFmtId="172" fontId="50" fillId="7" borderId="18" xfId="42" applyNumberFormat="1" applyFont="1" applyFill="1" applyBorder="1" applyAlignment="1">
      <alignment/>
    </xf>
    <xf numFmtId="172" fontId="0" fillId="7" borderId="10" xfId="42" applyNumberFormat="1" applyFont="1" applyFill="1" applyBorder="1" applyAlignment="1">
      <alignment/>
    </xf>
    <xf numFmtId="172" fontId="50" fillId="7" borderId="25" xfId="42" applyNumberFormat="1" applyFont="1" applyFill="1" applyBorder="1" applyAlignment="1">
      <alignment/>
    </xf>
    <xf numFmtId="172" fontId="0" fillId="0" borderId="26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50" fillId="7" borderId="22" xfId="42" applyNumberFormat="1" applyFont="1" applyFill="1" applyBorder="1" applyAlignment="1">
      <alignment/>
    </xf>
    <xf numFmtId="172" fontId="0" fillId="33" borderId="22" xfId="42" applyNumberFormat="1" applyFont="1" applyFill="1" applyBorder="1" applyAlignment="1">
      <alignment/>
    </xf>
    <xf numFmtId="172" fontId="0" fillId="33" borderId="10" xfId="42" applyNumberFormat="1" applyFont="1" applyFill="1" applyBorder="1" applyAlignment="1">
      <alignment/>
    </xf>
    <xf numFmtId="172" fontId="0" fillId="33" borderId="22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8" xfId="0" applyNumberFormat="1" applyFont="1" applyBorder="1" applyAlignment="1">
      <alignment/>
    </xf>
    <xf numFmtId="172" fontId="50" fillId="0" borderId="26" xfId="42" applyNumberFormat="1" applyFont="1" applyBorder="1" applyAlignment="1">
      <alignment/>
    </xf>
    <xf numFmtId="172" fontId="50" fillId="0" borderId="22" xfId="0" applyNumberFormat="1" applyFont="1" applyBorder="1" applyAlignment="1">
      <alignment/>
    </xf>
    <xf numFmtId="172" fontId="50" fillId="0" borderId="22" xfId="42" applyNumberFormat="1" applyFont="1" applyBorder="1" applyAlignment="1">
      <alignment/>
    </xf>
    <xf numFmtId="172" fontId="50" fillId="0" borderId="10" xfId="0" applyNumberFormat="1" applyFont="1" applyBorder="1" applyAlignment="1">
      <alignment/>
    </xf>
    <xf numFmtId="43" fontId="50" fillId="0" borderId="28" xfId="42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3" fontId="50" fillId="0" borderId="10" xfId="42" applyFont="1" applyBorder="1" applyAlignment="1">
      <alignment horizontal="left" vertical="center" wrapText="1"/>
    </xf>
    <xf numFmtId="172" fontId="50" fillId="0" borderId="0" xfId="0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50" fillId="7" borderId="10" xfId="42" applyNumberFormat="1" applyFont="1" applyFill="1" applyBorder="1" applyAlignment="1">
      <alignment/>
    </xf>
    <xf numFmtId="43" fontId="50" fillId="7" borderId="22" xfId="42" applyNumberFormat="1" applyFont="1" applyFill="1" applyBorder="1" applyAlignment="1">
      <alignment/>
    </xf>
    <xf numFmtId="43" fontId="0" fillId="0" borderId="10" xfId="42" applyNumberFormat="1" applyFont="1" applyBorder="1" applyAlignment="1">
      <alignment/>
    </xf>
    <xf numFmtId="186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2" fontId="56" fillId="0" borderId="0" xfId="42" applyNumberFormat="1" applyFont="1" applyAlignment="1">
      <alignment/>
    </xf>
    <xf numFmtId="172" fontId="50" fillId="0" borderId="1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46" xfId="42" applyNumberFormat="1" applyFont="1" applyBorder="1" applyAlignment="1">
      <alignment/>
    </xf>
    <xf numFmtId="172" fontId="50" fillId="0" borderId="46" xfId="42" applyNumberFormat="1" applyFont="1" applyBorder="1" applyAlignment="1">
      <alignment/>
    </xf>
    <xf numFmtId="43" fontId="0" fillId="0" borderId="10" xfId="42" applyFont="1" applyBorder="1" applyAlignment="1">
      <alignment/>
    </xf>
    <xf numFmtId="172" fontId="0" fillId="0" borderId="1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72" fontId="0" fillId="0" borderId="46" xfId="0" applyNumberFormat="1" applyBorder="1" applyAlignment="1">
      <alignment/>
    </xf>
    <xf numFmtId="172" fontId="56" fillId="0" borderId="46" xfId="0" applyNumberFormat="1" applyFont="1" applyBorder="1" applyAlignment="1">
      <alignment/>
    </xf>
    <xf numFmtId="172" fontId="56" fillId="0" borderId="46" xfId="42" applyNumberFormat="1" applyFont="1" applyBorder="1" applyAlignment="1">
      <alignment/>
    </xf>
    <xf numFmtId="172" fontId="57" fillId="0" borderId="46" xfId="42" applyNumberFormat="1" applyFont="1" applyBorder="1" applyAlignment="1">
      <alignment/>
    </xf>
    <xf numFmtId="172" fontId="50" fillId="0" borderId="46" xfId="0" applyNumberFormat="1" applyFont="1" applyBorder="1" applyAlignment="1">
      <alignment/>
    </xf>
    <xf numFmtId="43" fontId="50" fillId="0" borderId="46" xfId="42" applyFont="1" applyBorder="1" applyAlignment="1">
      <alignment horizontal="center"/>
    </xf>
    <xf numFmtId="0" fontId="55" fillId="0" borderId="0" xfId="0" applyFont="1" applyAlignment="1">
      <alignment horizontal="left" vertical="top"/>
    </xf>
    <xf numFmtId="0" fontId="3" fillId="0" borderId="26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90" fontId="7" fillId="0" borderId="0" xfId="62" applyNumberFormat="1" applyFont="1" applyFill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3" fontId="3" fillId="0" borderId="33" xfId="42" applyFont="1" applyFill="1" applyBorder="1" applyAlignment="1">
      <alignment horizontal="left"/>
    </xf>
    <xf numFmtId="43" fontId="3" fillId="0" borderId="44" xfId="42" applyFont="1" applyFill="1" applyBorder="1" applyAlignment="1">
      <alignment horizontal="left"/>
    </xf>
    <xf numFmtId="0" fontId="5" fillId="0" borderId="27" xfId="0" applyFont="1" applyFill="1" applyBorder="1" applyAlignment="1">
      <alignment vertical="center" textRotation="17" wrapText="1"/>
    </xf>
    <xf numFmtId="0" fontId="2" fillId="0" borderId="48" xfId="0" applyFont="1" applyFill="1" applyBorder="1" applyAlignment="1">
      <alignment textRotation="17"/>
    </xf>
    <xf numFmtId="0" fontId="2" fillId="0" borderId="29" xfId="0" applyFont="1" applyFill="1" applyBorder="1" applyAlignment="1">
      <alignment textRotation="17"/>
    </xf>
    <xf numFmtId="0" fontId="2" fillId="0" borderId="44" xfId="0" applyFont="1" applyFill="1" applyBorder="1" applyAlignment="1">
      <alignment textRotation="17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1.421875" style="0" customWidth="1"/>
    <col min="2" max="2" width="4.8515625" style="0" customWidth="1"/>
    <col min="3" max="3" width="51.421875" style="0" customWidth="1"/>
    <col min="4" max="4" width="12.28125" style="0" customWidth="1"/>
    <col min="5" max="5" width="10.28125" style="0" customWidth="1"/>
    <col min="6" max="6" width="11.8515625" style="0" customWidth="1"/>
    <col min="7" max="7" width="11.28125" style="0" customWidth="1"/>
    <col min="8" max="8" width="12.00390625" style="0" customWidth="1"/>
    <col min="9" max="9" width="17.57421875" style="0" hidden="1" customWidth="1"/>
    <col min="10" max="10" width="0.85546875" style="0" hidden="1" customWidth="1"/>
    <col min="11" max="11" width="12.00390625" style="181" customWidth="1"/>
    <col min="12" max="12" width="11.421875" style="0" customWidth="1"/>
    <col min="13" max="14" width="12.00390625" style="0" customWidth="1"/>
    <col min="15" max="15" width="11.8515625" style="181" customWidth="1"/>
    <col min="16" max="16" width="11.421875" style="0" customWidth="1"/>
    <col min="19" max="19" width="14.28125" style="330" bestFit="1" customWidth="1"/>
  </cols>
  <sheetData>
    <row r="1" spans="1:11" ht="15">
      <c r="A1" s="70"/>
      <c r="B1" s="71"/>
      <c r="C1" s="72"/>
      <c r="D1" s="73"/>
      <c r="E1" s="73"/>
      <c r="F1" s="73"/>
      <c r="G1" s="419"/>
      <c r="H1" s="420"/>
      <c r="I1" s="180"/>
      <c r="K1" s="215"/>
    </row>
    <row r="2" spans="1:15" ht="18">
      <c r="A2" s="421" t="s">
        <v>49</v>
      </c>
      <c r="B2" s="422"/>
      <c r="C2" s="422"/>
      <c r="D2" s="422"/>
      <c r="E2" s="422"/>
      <c r="F2" s="422"/>
      <c r="G2" s="422"/>
      <c r="H2" s="423"/>
      <c r="I2" s="182"/>
      <c r="K2" s="215"/>
      <c r="O2" s="214"/>
    </row>
    <row r="3" spans="1:15" ht="15.75" thickBot="1">
      <c r="A3" s="74"/>
      <c r="B3" s="75"/>
      <c r="C3" s="76"/>
      <c r="D3" s="424"/>
      <c r="E3" s="424"/>
      <c r="F3" s="424"/>
      <c r="G3" s="424"/>
      <c r="H3" s="425"/>
      <c r="I3" s="182"/>
      <c r="K3" s="215"/>
      <c r="O3" s="214"/>
    </row>
    <row r="4" spans="1:16" ht="16.5" thickBot="1">
      <c r="A4" s="426"/>
      <c r="B4" s="427"/>
      <c r="C4" s="430" t="s">
        <v>42</v>
      </c>
      <c r="D4" s="432" t="s">
        <v>50</v>
      </c>
      <c r="E4" s="433"/>
      <c r="F4" s="433"/>
      <c r="G4" s="433"/>
      <c r="H4" s="434"/>
      <c r="I4" s="183" t="s">
        <v>194</v>
      </c>
      <c r="K4" s="301" t="s">
        <v>195</v>
      </c>
      <c r="L4" s="304" t="s">
        <v>292</v>
      </c>
      <c r="M4" s="304" t="s">
        <v>313</v>
      </c>
      <c r="N4" s="304" t="s">
        <v>316</v>
      </c>
      <c r="O4" s="305" t="s">
        <v>294</v>
      </c>
      <c r="P4" s="305" t="s">
        <v>294</v>
      </c>
    </row>
    <row r="5" spans="1:16" ht="65.25" thickBot="1">
      <c r="A5" s="428"/>
      <c r="B5" s="429"/>
      <c r="C5" s="431"/>
      <c r="D5" s="68" t="s">
        <v>196</v>
      </c>
      <c r="E5" s="78" t="s">
        <v>197</v>
      </c>
      <c r="F5" s="68" t="s">
        <v>198</v>
      </c>
      <c r="G5" s="77" t="s">
        <v>51</v>
      </c>
      <c r="H5" s="79" t="s">
        <v>43</v>
      </c>
      <c r="I5" s="184"/>
      <c r="K5" s="383" t="s">
        <v>315</v>
      </c>
      <c r="L5" s="384" t="s">
        <v>293</v>
      </c>
      <c r="M5" s="384" t="s">
        <v>314</v>
      </c>
      <c r="N5" s="384" t="s">
        <v>320</v>
      </c>
      <c r="O5" s="385" t="s">
        <v>299</v>
      </c>
      <c r="P5" s="385" t="s">
        <v>300</v>
      </c>
    </row>
    <row r="6" spans="1:16" ht="15.75" thickBot="1">
      <c r="A6" s="410" t="s">
        <v>52</v>
      </c>
      <c r="B6" s="411"/>
      <c r="C6" s="323" t="s">
        <v>301</v>
      </c>
      <c r="D6" s="1">
        <f>+D7+D8+D9+D10</f>
        <v>18184031</v>
      </c>
      <c r="E6" s="80">
        <f>+E7+E8+E9+E10</f>
        <v>5895952</v>
      </c>
      <c r="F6" s="80">
        <f>+F7+F8+F9+F10</f>
        <v>18658034</v>
      </c>
      <c r="G6" s="80">
        <f>+G7+G8+G9+G10</f>
        <v>29574132</v>
      </c>
      <c r="H6" s="80">
        <f>+H7+H8+H9+H10</f>
        <v>72312149</v>
      </c>
      <c r="I6" s="185">
        <v>71222581</v>
      </c>
      <c r="K6" s="379">
        <v>11215702.03</v>
      </c>
      <c r="L6" s="380">
        <v>15687947.83</v>
      </c>
      <c r="M6" s="382">
        <v>14099427.510000005</v>
      </c>
      <c r="N6" s="386">
        <f>+O6-K6-L6-M6</f>
        <v>15814290.439999998</v>
      </c>
      <c r="O6" s="395">
        <v>56817367.81</v>
      </c>
      <c r="P6" s="381">
        <f>+H6-O6</f>
        <v>15494781.189999998</v>
      </c>
    </row>
    <row r="7" spans="1:16" ht="15.75" thickBot="1">
      <c r="A7" s="325"/>
      <c r="B7" s="327"/>
      <c r="C7" s="328" t="s">
        <v>53</v>
      </c>
      <c r="D7" s="342">
        <v>17094463</v>
      </c>
      <c r="E7" s="343">
        <v>5418599</v>
      </c>
      <c r="F7" s="342">
        <v>18646682</v>
      </c>
      <c r="G7" s="343">
        <v>29574132</v>
      </c>
      <c r="H7" s="342">
        <f>+D7+E7+F7+G7</f>
        <v>70733876</v>
      </c>
      <c r="I7" s="344">
        <v>71222581</v>
      </c>
      <c r="J7" s="345"/>
      <c r="K7" s="374">
        <f>+K6-K8</f>
        <v>11093378.11</v>
      </c>
      <c r="L7" s="376">
        <f>+L6-L8-L10</f>
        <v>15527378.91</v>
      </c>
      <c r="M7" s="376">
        <f>+M6-M8-M9</f>
        <v>13864088.070000006</v>
      </c>
      <c r="N7" s="376">
        <f>+N6-N8-N9</f>
        <v>15331955.059999999</v>
      </c>
      <c r="O7" s="374">
        <f>+O6-O8-O9-O10</f>
        <v>55816800.150000006</v>
      </c>
      <c r="P7" s="374">
        <f>+P6-P8-P9-P10</f>
        <v>14917075.849999998</v>
      </c>
    </row>
    <row r="8" spans="1:19" ht="15.75" thickBot="1">
      <c r="A8" s="331"/>
      <c r="B8" s="332"/>
      <c r="C8" s="333" t="s">
        <v>303</v>
      </c>
      <c r="D8" s="334">
        <v>1051323</v>
      </c>
      <c r="E8" s="335"/>
      <c r="F8" s="334"/>
      <c r="G8" s="335"/>
      <c r="H8" s="334">
        <v>1051323</v>
      </c>
      <c r="I8" s="336"/>
      <c r="J8" s="337"/>
      <c r="K8" s="375">
        <v>122323.92</v>
      </c>
      <c r="L8" s="377">
        <v>122323.92</v>
      </c>
      <c r="M8" s="377">
        <v>122323.92</v>
      </c>
      <c r="N8" s="377">
        <v>122323.92</v>
      </c>
      <c r="O8" s="375">
        <f>+H8-P8</f>
        <v>489295.68000000005</v>
      </c>
      <c r="P8" s="375">
        <v>562027.32</v>
      </c>
      <c r="S8" s="402"/>
    </row>
    <row r="9" spans="1:16" ht="15.75" thickBot="1">
      <c r="A9" s="412"/>
      <c r="B9" s="413"/>
      <c r="C9" s="329" t="s">
        <v>54</v>
      </c>
      <c r="D9" s="326">
        <v>0</v>
      </c>
      <c r="E9" s="324">
        <v>477353</v>
      </c>
      <c r="F9" s="326">
        <v>11352</v>
      </c>
      <c r="G9" s="324">
        <v>0</v>
      </c>
      <c r="H9" s="326">
        <f>SUM(D9:G9)</f>
        <v>488705</v>
      </c>
      <c r="I9" s="186"/>
      <c r="K9" s="352">
        <v>0</v>
      </c>
      <c r="L9" s="378">
        <v>0</v>
      </c>
      <c r="M9" s="378">
        <v>113015.52</v>
      </c>
      <c r="N9" s="378">
        <f>+O9-M9</f>
        <v>360011.45999999996</v>
      </c>
      <c r="O9" s="352">
        <v>473026.98</v>
      </c>
      <c r="P9" s="352">
        <f>+H9-O9</f>
        <v>15678.020000000019</v>
      </c>
    </row>
    <row r="10" spans="1:16" ht="15.75" thickBot="1">
      <c r="A10" s="81"/>
      <c r="B10" s="82"/>
      <c r="C10" s="83" t="s">
        <v>302</v>
      </c>
      <c r="D10" s="338">
        <f>+D169+D280</f>
        <v>38245</v>
      </c>
      <c r="E10" s="339"/>
      <c r="F10" s="338"/>
      <c r="G10" s="339"/>
      <c r="H10" s="338">
        <f>+D10+E10+F10+G10</f>
        <v>38245</v>
      </c>
      <c r="I10" s="340"/>
      <c r="J10" s="341"/>
      <c r="K10" s="204">
        <v>0</v>
      </c>
      <c r="L10" s="401">
        <v>38245</v>
      </c>
      <c r="M10" s="400">
        <v>0</v>
      </c>
      <c r="N10" s="400">
        <v>0</v>
      </c>
      <c r="O10" s="372">
        <v>38245</v>
      </c>
      <c r="P10" s="204">
        <f>+H10-O10</f>
        <v>0</v>
      </c>
    </row>
    <row r="11" spans="1:16" ht="15.75" thickBot="1">
      <c r="A11" s="253" t="s">
        <v>55</v>
      </c>
      <c r="B11" s="414" t="s">
        <v>56</v>
      </c>
      <c r="C11" s="414"/>
      <c r="D11" s="254">
        <f>D12+D14+D73+D89+D169</f>
        <v>13202026</v>
      </c>
      <c r="E11" s="255">
        <v>0</v>
      </c>
      <c r="F11" s="254">
        <v>0</v>
      </c>
      <c r="G11" s="255">
        <f>+G80+G169+G12+G14</f>
        <v>24258673</v>
      </c>
      <c r="H11" s="254">
        <f>+H12+H14+H73+H80+H169</f>
        <v>37460699</v>
      </c>
      <c r="I11" s="254">
        <f>+I12+I14+I73+I80+I169</f>
        <v>15625169</v>
      </c>
      <c r="J11" s="256">
        <f>++D12</f>
        <v>4371323</v>
      </c>
      <c r="K11" s="346">
        <v>3303662.079999999</v>
      </c>
      <c r="L11" s="347">
        <v>7404412.650000001</v>
      </c>
      <c r="M11" s="347">
        <v>6075223.29</v>
      </c>
      <c r="N11" s="347">
        <f>+O11-M11-L11-K11</f>
        <v>7171016.539999998</v>
      </c>
      <c r="O11" s="347">
        <f>+O12+O14+O80+O169+O73</f>
        <v>23954314.56</v>
      </c>
      <c r="P11" s="347">
        <f>+H11-O11</f>
        <v>13506384.440000001</v>
      </c>
    </row>
    <row r="12" spans="1:16" ht="15.75" thickBot="1">
      <c r="A12" s="415"/>
      <c r="B12" s="250" t="s">
        <v>57</v>
      </c>
      <c r="C12" s="244" t="s">
        <v>58</v>
      </c>
      <c r="D12" s="251">
        <f>+D13</f>
        <v>4371323</v>
      </c>
      <c r="E12" s="252"/>
      <c r="F12" s="251"/>
      <c r="G12" s="252">
        <f>+G13</f>
        <v>328832</v>
      </c>
      <c r="H12" s="251">
        <f>+D12+G12</f>
        <v>4700155</v>
      </c>
      <c r="I12" s="185">
        <f>+I13</f>
        <v>4528832</v>
      </c>
      <c r="J12" s="179">
        <f>+D15+D21+D23+D26+D40+D44+D48+D52+D55+D58+D62</f>
        <v>4443982</v>
      </c>
      <c r="K12" s="348">
        <v>1041398.97</v>
      </c>
      <c r="L12" s="349">
        <v>1015568.51</v>
      </c>
      <c r="M12" s="349">
        <v>1050423.21</v>
      </c>
      <c r="N12" s="349">
        <f>+N13</f>
        <v>1126417.750000001</v>
      </c>
      <c r="O12" s="349">
        <f>+O13</f>
        <v>4233808.44</v>
      </c>
      <c r="P12" s="349">
        <f>+P13</f>
        <v>466346.5599999996</v>
      </c>
    </row>
    <row r="13" spans="1:16" ht="15.75" thickBot="1">
      <c r="A13" s="416"/>
      <c r="B13" s="85">
        <v>1</v>
      </c>
      <c r="C13" s="86" t="s">
        <v>59</v>
      </c>
      <c r="D13" s="59">
        <v>4371323</v>
      </c>
      <c r="E13" s="87"/>
      <c r="F13" s="88"/>
      <c r="G13" s="89">
        <v>328832</v>
      </c>
      <c r="H13" s="59">
        <f>+D13+G13</f>
        <v>4700155</v>
      </c>
      <c r="I13" s="184">
        <v>4528832</v>
      </c>
      <c r="J13" s="179">
        <f>+D73</f>
        <v>845000</v>
      </c>
      <c r="K13" s="350">
        <v>1041398.97</v>
      </c>
      <c r="L13" s="351">
        <v>1015568.51</v>
      </c>
      <c r="M13" s="351">
        <v>1050423.21</v>
      </c>
      <c r="N13" s="352">
        <f aca="true" t="shared" si="0" ref="N13:N21">+O13-K13-L13-M13</f>
        <v>1126417.750000001</v>
      </c>
      <c r="O13" s="352">
        <v>4233808.44</v>
      </c>
      <c r="P13" s="352">
        <f aca="true" t="shared" si="1" ref="P13:P26">+H13-O13</f>
        <v>466346.5599999996</v>
      </c>
    </row>
    <row r="14" spans="1:16" ht="15.75" thickBot="1">
      <c r="A14" s="416"/>
      <c r="B14" s="242" t="s">
        <v>60</v>
      </c>
      <c r="C14" s="219" t="s">
        <v>285</v>
      </c>
      <c r="D14" s="217">
        <f>+D15+D21+D23+D26+D40+D44+D48+D52+D55+D58+D62</f>
        <v>4443982</v>
      </c>
      <c r="E14" s="218"/>
      <c r="F14" s="217"/>
      <c r="G14" s="218">
        <f>+G26</f>
        <v>4488750</v>
      </c>
      <c r="H14" s="217">
        <f>+D14+G14</f>
        <v>8932732</v>
      </c>
      <c r="I14" s="185">
        <f>+I15+I21+I23+I26+I40+I44+I48+I52+I55+I58+I62</f>
        <v>8932732</v>
      </c>
      <c r="J14" s="179">
        <f>SUM(J11:J13)</f>
        <v>9660305</v>
      </c>
      <c r="K14" s="348">
        <v>1483511.7999999998</v>
      </c>
      <c r="L14" s="349">
        <v>1696029.2200000002</v>
      </c>
      <c r="M14" s="349">
        <v>1283345.5499999993</v>
      </c>
      <c r="N14" s="349">
        <f t="shared" si="0"/>
        <v>2677920.54</v>
      </c>
      <c r="O14" s="349">
        <f>+O15+O21+O23+O26+O40+O44+O48+O52+O55+O58+O62</f>
        <v>7140807.109999999</v>
      </c>
      <c r="P14" s="349">
        <f t="shared" si="1"/>
        <v>1791924.8900000006</v>
      </c>
    </row>
    <row r="15" spans="1:16" ht="15.75" thickBot="1">
      <c r="A15" s="416"/>
      <c r="B15" s="242" t="s">
        <v>61</v>
      </c>
      <c r="C15" s="249" t="s">
        <v>62</v>
      </c>
      <c r="D15" s="240">
        <f>+D16+D17+D18+D19+D20</f>
        <v>155000</v>
      </c>
      <c r="E15" s="241"/>
      <c r="F15" s="240"/>
      <c r="G15" s="241">
        <v>0</v>
      </c>
      <c r="H15" s="240">
        <f aca="true" t="shared" si="2" ref="H15:H46">SUM(D15:G15)</f>
        <v>155000</v>
      </c>
      <c r="I15" s="185">
        <f>+I16+I17+I18+I19+I20</f>
        <v>290000</v>
      </c>
      <c r="K15" s="348">
        <v>67330.62000000001</v>
      </c>
      <c r="L15" s="349">
        <v>38516.12999999999</v>
      </c>
      <c r="M15" s="349">
        <v>113639.11</v>
      </c>
      <c r="N15" s="349">
        <f t="shared" si="0"/>
        <v>411653.68000000005</v>
      </c>
      <c r="O15" s="349">
        <f>+O16+O17+O18+O19+O20</f>
        <v>631139.54</v>
      </c>
      <c r="P15" s="349">
        <f t="shared" si="1"/>
        <v>-476139.54000000004</v>
      </c>
    </row>
    <row r="16" spans="1:16" ht="15">
      <c r="A16" s="416"/>
      <c r="B16" s="85">
        <v>1</v>
      </c>
      <c r="C16" s="91" t="s">
        <v>63</v>
      </c>
      <c r="D16" s="92">
        <v>30000</v>
      </c>
      <c r="E16" s="67"/>
      <c r="F16" s="59"/>
      <c r="G16" s="67">
        <v>0</v>
      </c>
      <c r="H16" s="92">
        <f t="shared" si="2"/>
        <v>30000</v>
      </c>
      <c r="I16" s="187">
        <v>130000</v>
      </c>
      <c r="J16" s="179">
        <f>+G13</f>
        <v>328832</v>
      </c>
      <c r="K16" s="302">
        <v>8936.9</v>
      </c>
      <c r="L16" s="353">
        <v>21063.1</v>
      </c>
      <c r="M16" s="353">
        <v>93656.05000000002</v>
      </c>
      <c r="N16" s="354">
        <f t="shared" si="0"/>
        <v>39078.69999999998</v>
      </c>
      <c r="O16" s="354">
        <f>205894.38-50479+7319.37</f>
        <v>162734.75</v>
      </c>
      <c r="P16" s="354">
        <f t="shared" si="1"/>
        <v>-132734.75</v>
      </c>
    </row>
    <row r="17" spans="1:16" ht="15">
      <c r="A17" s="416"/>
      <c r="B17" s="93">
        <v>2</v>
      </c>
      <c r="C17" s="94" t="s">
        <v>64</v>
      </c>
      <c r="D17" s="95">
        <f>+I17</f>
        <v>30000</v>
      </c>
      <c r="E17" s="67"/>
      <c r="F17" s="62"/>
      <c r="G17" s="67">
        <v>0</v>
      </c>
      <c r="H17" s="63">
        <f t="shared" si="2"/>
        <v>30000</v>
      </c>
      <c r="I17" s="188">
        <v>30000</v>
      </c>
      <c r="J17" s="179">
        <f>+G81+G89+G103+G128+G130+G142+G156+G160+G163+G165</f>
        <v>18154281</v>
      </c>
      <c r="K17" s="303">
        <v>13374</v>
      </c>
      <c r="L17" s="353">
        <v>0</v>
      </c>
      <c r="M17" s="354">
        <v>0</v>
      </c>
      <c r="N17" s="387">
        <f t="shared" si="0"/>
        <v>-0.2000000000007276</v>
      </c>
      <c r="O17" s="355">
        <v>13373.8</v>
      </c>
      <c r="P17" s="387">
        <f t="shared" si="1"/>
        <v>16626.2</v>
      </c>
    </row>
    <row r="18" spans="1:16" ht="15">
      <c r="A18" s="416"/>
      <c r="B18" s="93">
        <v>3</v>
      </c>
      <c r="C18" s="94" t="s">
        <v>65</v>
      </c>
      <c r="D18" s="95">
        <f>+I18</f>
        <v>50000</v>
      </c>
      <c r="E18" s="67"/>
      <c r="F18" s="62"/>
      <c r="G18" s="67">
        <v>0</v>
      </c>
      <c r="H18" s="63">
        <f t="shared" si="2"/>
        <v>50000</v>
      </c>
      <c r="I18" s="188">
        <v>50000</v>
      </c>
      <c r="J18" s="189">
        <f>+G170+G171+G180+G181+G182</f>
        <v>1286810</v>
      </c>
      <c r="K18" s="303">
        <v>41838.55</v>
      </c>
      <c r="L18" s="353">
        <v>8640.61</v>
      </c>
      <c r="M18" s="354">
        <v>0</v>
      </c>
      <c r="N18" s="387">
        <f t="shared" si="0"/>
        <v>10435.839999999997</v>
      </c>
      <c r="O18" s="355">
        <f>50479+10436</f>
        <v>60915</v>
      </c>
      <c r="P18" s="387">
        <f t="shared" si="1"/>
        <v>-10915</v>
      </c>
    </row>
    <row r="19" spans="1:16" ht="15">
      <c r="A19" s="416"/>
      <c r="B19" s="93">
        <v>4</v>
      </c>
      <c r="C19" s="96" t="s">
        <v>66</v>
      </c>
      <c r="D19" s="97">
        <v>10000</v>
      </c>
      <c r="E19" s="98"/>
      <c r="F19" s="99"/>
      <c r="G19" s="98">
        <v>0</v>
      </c>
      <c r="H19" s="100">
        <f t="shared" si="2"/>
        <v>10000</v>
      </c>
      <c r="I19" s="188">
        <v>50000</v>
      </c>
      <c r="J19" s="179">
        <f>SUM(J16:J18)</f>
        <v>19769923</v>
      </c>
      <c r="K19" s="303">
        <v>1187.58</v>
      </c>
      <c r="L19" s="353">
        <v>8812.42</v>
      </c>
      <c r="M19" s="354">
        <v>7838.819999999998</v>
      </c>
      <c r="N19" s="387">
        <f t="shared" si="0"/>
        <v>898.1700000000055</v>
      </c>
      <c r="O19" s="355">
        <f>32062.99-13326</f>
        <v>18736.99</v>
      </c>
      <c r="P19" s="387">
        <f t="shared" si="1"/>
        <v>-8736.990000000002</v>
      </c>
    </row>
    <row r="20" spans="1:16" ht="15.75" thickBot="1">
      <c r="A20" s="416"/>
      <c r="B20" s="93">
        <v>5</v>
      </c>
      <c r="C20" s="96" t="s">
        <v>67</v>
      </c>
      <c r="D20" s="101">
        <v>35000</v>
      </c>
      <c r="E20" s="66"/>
      <c r="F20" s="64"/>
      <c r="G20" s="66">
        <v>0</v>
      </c>
      <c r="H20" s="102">
        <f t="shared" si="2"/>
        <v>35000</v>
      </c>
      <c r="I20" s="190">
        <v>30000</v>
      </c>
      <c r="K20" s="356">
        <v>1993.59</v>
      </c>
      <c r="L20" s="353">
        <v>0</v>
      </c>
      <c r="M20" s="354">
        <v>12144.24</v>
      </c>
      <c r="N20" s="387">
        <f t="shared" si="0"/>
        <v>361241.17</v>
      </c>
      <c r="O20" s="357">
        <v>375379</v>
      </c>
      <c r="P20" s="387">
        <f t="shared" si="1"/>
        <v>-340379</v>
      </c>
    </row>
    <row r="21" spans="1:16" ht="15.75" thickBot="1">
      <c r="A21" s="416"/>
      <c r="B21" s="242" t="s">
        <v>68</v>
      </c>
      <c r="C21" s="223" t="s">
        <v>69</v>
      </c>
      <c r="D21" s="222">
        <f>+D22</f>
        <v>20000</v>
      </c>
      <c r="E21" s="221"/>
      <c r="F21" s="222"/>
      <c r="G21" s="221">
        <v>0</v>
      </c>
      <c r="H21" s="222">
        <f t="shared" si="2"/>
        <v>20000</v>
      </c>
      <c r="I21" s="239">
        <f>+I22</f>
        <v>20000</v>
      </c>
      <c r="J21" s="307">
        <f>+J14+J19</f>
        <v>29430228</v>
      </c>
      <c r="K21" s="348">
        <v>0</v>
      </c>
      <c r="L21" s="349">
        <v>14325.59</v>
      </c>
      <c r="M21" s="349">
        <v>0</v>
      </c>
      <c r="N21" s="349">
        <f t="shared" si="0"/>
        <v>0</v>
      </c>
      <c r="O21" s="349">
        <f>+O22</f>
        <v>14325.59</v>
      </c>
      <c r="P21" s="349">
        <f t="shared" si="1"/>
        <v>5674.41</v>
      </c>
    </row>
    <row r="22" spans="1:16" ht="15.75" thickBot="1">
      <c r="A22" s="416"/>
      <c r="B22" s="93">
        <v>2</v>
      </c>
      <c r="C22" s="94" t="s">
        <v>70</v>
      </c>
      <c r="D22" s="95">
        <f>+I22</f>
        <v>20000</v>
      </c>
      <c r="E22" s="103"/>
      <c r="F22" s="61"/>
      <c r="G22" s="103">
        <v>0</v>
      </c>
      <c r="H22" s="63">
        <f t="shared" si="2"/>
        <v>20000</v>
      </c>
      <c r="I22" s="186">
        <v>20000</v>
      </c>
      <c r="K22" s="303">
        <v>0</v>
      </c>
      <c r="L22" s="351">
        <v>14325.59</v>
      </c>
      <c r="M22" s="351">
        <v>0</v>
      </c>
      <c r="N22" s="352">
        <f>+O22-L22-M22</f>
        <v>0</v>
      </c>
      <c r="O22" s="352">
        <v>14325.59</v>
      </c>
      <c r="P22" s="352">
        <f t="shared" si="1"/>
        <v>5674.41</v>
      </c>
    </row>
    <row r="23" spans="1:16" ht="15.75" thickBot="1">
      <c r="A23" s="416"/>
      <c r="B23" s="242" t="s">
        <v>71</v>
      </c>
      <c r="C23" s="223" t="s">
        <v>72</v>
      </c>
      <c r="D23" s="222">
        <f>+D24+D25</f>
        <v>50000</v>
      </c>
      <c r="E23" s="221"/>
      <c r="F23" s="222"/>
      <c r="G23" s="221">
        <v>0</v>
      </c>
      <c r="H23" s="222">
        <f t="shared" si="2"/>
        <v>50000</v>
      </c>
      <c r="I23" s="185">
        <f>+I24+I25</f>
        <v>30000</v>
      </c>
      <c r="K23" s="348">
        <v>6142.04</v>
      </c>
      <c r="L23" s="349">
        <v>6288.7699999999995</v>
      </c>
      <c r="M23" s="349">
        <v>13843.14</v>
      </c>
      <c r="N23" s="349">
        <f>+O23-K23-L23-M23</f>
        <v>13450.219999999998</v>
      </c>
      <c r="O23" s="349">
        <f>+O24+O25</f>
        <v>39724.17</v>
      </c>
      <c r="P23" s="349">
        <f t="shared" si="1"/>
        <v>10275.830000000002</v>
      </c>
    </row>
    <row r="24" spans="1:16" ht="15">
      <c r="A24" s="416"/>
      <c r="B24" s="93">
        <v>1</v>
      </c>
      <c r="C24" s="94" t="s">
        <v>73</v>
      </c>
      <c r="D24" s="95">
        <v>48000</v>
      </c>
      <c r="E24" s="67"/>
      <c r="F24" s="62"/>
      <c r="G24" s="67">
        <v>0</v>
      </c>
      <c r="H24" s="63">
        <f t="shared" si="2"/>
        <v>48000</v>
      </c>
      <c r="I24" s="187">
        <v>28000</v>
      </c>
      <c r="J24" s="179">
        <f>+D11+D191+D244</f>
        <v>18184031</v>
      </c>
      <c r="K24" s="302">
        <v>4506.04</v>
      </c>
      <c r="L24" s="358">
        <v>5888.7699999999995</v>
      </c>
      <c r="M24" s="358">
        <v>13843.14</v>
      </c>
      <c r="N24" s="358">
        <f>+O24-M24-L24-K24</f>
        <v>13450.219999999998</v>
      </c>
      <c r="O24" s="354">
        <f>39724.17-2036</f>
        <v>37688.17</v>
      </c>
      <c r="P24" s="354">
        <f t="shared" si="1"/>
        <v>10311.830000000002</v>
      </c>
    </row>
    <row r="25" spans="1:16" ht="15.75" thickBot="1">
      <c r="A25" s="416"/>
      <c r="B25" s="93">
        <v>2</v>
      </c>
      <c r="C25" s="94" t="s">
        <v>74</v>
      </c>
      <c r="D25" s="95">
        <f>+I25</f>
        <v>2000</v>
      </c>
      <c r="E25" s="67"/>
      <c r="F25" s="62"/>
      <c r="G25" s="67">
        <v>0</v>
      </c>
      <c r="H25" s="63">
        <f t="shared" si="2"/>
        <v>2000</v>
      </c>
      <c r="I25" s="190">
        <v>2000</v>
      </c>
      <c r="J25" s="179">
        <f>+E191</f>
        <v>5895952</v>
      </c>
      <c r="K25" s="356">
        <v>1636</v>
      </c>
      <c r="L25" s="358">
        <v>400</v>
      </c>
      <c r="M25" s="358">
        <v>0</v>
      </c>
      <c r="N25" s="358">
        <f>+O25-M25-L25-K25</f>
        <v>0</v>
      </c>
      <c r="O25" s="357">
        <f>+K25+L25+M25</f>
        <v>2036</v>
      </c>
      <c r="P25" s="387">
        <f t="shared" si="1"/>
        <v>-36</v>
      </c>
    </row>
    <row r="26" spans="1:16" ht="15.75" thickBot="1">
      <c r="A26" s="416"/>
      <c r="B26" s="242" t="s">
        <v>75</v>
      </c>
      <c r="C26" s="223" t="s">
        <v>76</v>
      </c>
      <c r="D26" s="222">
        <f>+D27+D28+D29+D30+D31+D32+D33+D34+D35+D36+D37+D38+D39</f>
        <v>1370000</v>
      </c>
      <c r="E26" s="221"/>
      <c r="F26" s="222"/>
      <c r="G26" s="221">
        <f>+G39</f>
        <v>4488750</v>
      </c>
      <c r="H26" s="222">
        <f t="shared" si="2"/>
        <v>5858750</v>
      </c>
      <c r="I26" s="185">
        <f>+I27+I28+I29+I30+I31+I32+I33+I34+I35+I36+I37+I38+I39</f>
        <v>5858750</v>
      </c>
      <c r="J26" s="179">
        <f>+F244</f>
        <v>18658034</v>
      </c>
      <c r="K26" s="348">
        <v>618989.9</v>
      </c>
      <c r="L26" s="359">
        <v>872131.2800000001</v>
      </c>
      <c r="M26" s="359">
        <v>753444.09</v>
      </c>
      <c r="N26" s="359">
        <f>+O26-M26-L26-K26</f>
        <v>1051161.2200000002</v>
      </c>
      <c r="O26" s="349">
        <f>+O27+O28+O29+O30+O31+O32+O33+O34+O35+O36+O37+O38+O39</f>
        <v>3295726.49</v>
      </c>
      <c r="P26" s="349">
        <f t="shared" si="1"/>
        <v>2563023.51</v>
      </c>
    </row>
    <row r="27" spans="1:16" ht="15">
      <c r="A27" s="416"/>
      <c r="B27" s="93">
        <v>1</v>
      </c>
      <c r="C27" s="94" t="s">
        <v>77</v>
      </c>
      <c r="D27" s="104">
        <f aca="true" t="shared" si="3" ref="D27:D38">+I27</f>
        <v>10000</v>
      </c>
      <c r="E27" s="89"/>
      <c r="F27" s="59"/>
      <c r="G27" s="67">
        <v>0</v>
      </c>
      <c r="H27" s="92">
        <f t="shared" si="2"/>
        <v>10000</v>
      </c>
      <c r="I27" s="191">
        <v>10000</v>
      </c>
      <c r="J27" s="179">
        <f>+G11+G191+G244</f>
        <v>29574132</v>
      </c>
      <c r="K27" s="302">
        <v>0</v>
      </c>
      <c r="L27" s="353">
        <v>100</v>
      </c>
      <c r="M27" s="353">
        <v>385</v>
      </c>
      <c r="N27" s="354">
        <f>+O27-M27-L27-K27</f>
        <v>4449.98</v>
      </c>
      <c r="O27" s="354">
        <v>4934.98</v>
      </c>
      <c r="P27" s="354">
        <f>+H27-O27</f>
        <v>5065.02</v>
      </c>
    </row>
    <row r="28" spans="1:16" ht="15">
      <c r="A28" s="416"/>
      <c r="B28" s="93">
        <v>2</v>
      </c>
      <c r="C28" s="94" t="s">
        <v>78</v>
      </c>
      <c r="D28" s="95">
        <f t="shared" si="3"/>
        <v>10000</v>
      </c>
      <c r="E28" s="67"/>
      <c r="F28" s="62"/>
      <c r="G28" s="67">
        <v>0</v>
      </c>
      <c r="H28" s="63">
        <f t="shared" si="2"/>
        <v>10000</v>
      </c>
      <c r="I28" s="192">
        <v>10000</v>
      </c>
      <c r="K28" s="303">
        <v>259.77</v>
      </c>
      <c r="L28" s="353">
        <v>550</v>
      </c>
      <c r="M28" s="354">
        <v>1116.6</v>
      </c>
      <c r="N28" s="387">
        <f aca="true" t="shared" si="4" ref="N28:N39">+O28-M28-L28-K28</f>
        <v>7653.259999999998</v>
      </c>
      <c r="O28" s="355">
        <v>9579.63</v>
      </c>
      <c r="P28" s="387">
        <f aca="true" t="shared" si="5" ref="P28:P39">+H28-O28</f>
        <v>420.3700000000008</v>
      </c>
    </row>
    <row r="29" spans="1:16" ht="15">
      <c r="A29" s="416"/>
      <c r="B29" s="93">
        <v>3</v>
      </c>
      <c r="C29" s="94" t="s">
        <v>79</v>
      </c>
      <c r="D29" s="95">
        <f t="shared" si="3"/>
        <v>20000</v>
      </c>
      <c r="E29" s="67"/>
      <c r="F29" s="62"/>
      <c r="G29" s="67">
        <v>0</v>
      </c>
      <c r="H29" s="63">
        <f t="shared" si="2"/>
        <v>20000</v>
      </c>
      <c r="I29" s="192">
        <v>20000</v>
      </c>
      <c r="J29" s="179">
        <f>+J27+G39</f>
        <v>34062882</v>
      </c>
      <c r="K29" s="303">
        <v>330.05</v>
      </c>
      <c r="L29" s="353">
        <v>357.59999999999997</v>
      </c>
      <c r="M29" s="354">
        <v>507.15000000000003</v>
      </c>
      <c r="N29" s="387">
        <f t="shared" si="4"/>
        <v>2849.7</v>
      </c>
      <c r="O29" s="355">
        <v>4044.5</v>
      </c>
      <c r="P29" s="387">
        <f t="shared" si="5"/>
        <v>15955.5</v>
      </c>
    </row>
    <row r="30" spans="1:16" ht="15">
      <c r="A30" s="416"/>
      <c r="B30" s="93">
        <v>4</v>
      </c>
      <c r="C30" s="96" t="s">
        <v>80</v>
      </c>
      <c r="D30" s="95">
        <f t="shared" si="3"/>
        <v>20000</v>
      </c>
      <c r="E30" s="67"/>
      <c r="F30" s="62"/>
      <c r="G30" s="67">
        <v>0</v>
      </c>
      <c r="H30" s="63">
        <f t="shared" si="2"/>
        <v>20000</v>
      </c>
      <c r="I30" s="192">
        <v>20000</v>
      </c>
      <c r="K30" s="303">
        <v>2029.87</v>
      </c>
      <c r="L30" s="353">
        <v>2188.04</v>
      </c>
      <c r="M30" s="354">
        <v>4568.41</v>
      </c>
      <c r="N30" s="387">
        <f t="shared" si="4"/>
        <v>15342.14</v>
      </c>
      <c r="O30" s="355">
        <v>24128.46</v>
      </c>
      <c r="P30" s="387">
        <f t="shared" si="5"/>
        <v>-4128.459999999999</v>
      </c>
    </row>
    <row r="31" spans="1:16" ht="15">
      <c r="A31" s="416"/>
      <c r="B31" s="93">
        <v>5</v>
      </c>
      <c r="C31" s="96" t="s">
        <v>81</v>
      </c>
      <c r="D31" s="95">
        <f t="shared" si="3"/>
        <v>30000</v>
      </c>
      <c r="E31" s="67"/>
      <c r="F31" s="62"/>
      <c r="G31" s="67">
        <v>0</v>
      </c>
      <c r="H31" s="63">
        <f t="shared" si="2"/>
        <v>30000</v>
      </c>
      <c r="I31" s="192">
        <v>30000</v>
      </c>
      <c r="K31" s="303">
        <v>25944.86</v>
      </c>
      <c r="L31" s="353">
        <v>700</v>
      </c>
      <c r="M31" s="354">
        <v>4972.43</v>
      </c>
      <c r="N31" s="387">
        <f t="shared" si="4"/>
        <v>4972.409999999996</v>
      </c>
      <c r="O31" s="355">
        <v>36589.7</v>
      </c>
      <c r="P31" s="387">
        <f t="shared" si="5"/>
        <v>-6589.699999999997</v>
      </c>
    </row>
    <row r="32" spans="1:16" ht="15">
      <c r="A32" s="416"/>
      <c r="B32" s="93">
        <v>6</v>
      </c>
      <c r="C32" s="96" t="s">
        <v>199</v>
      </c>
      <c r="D32" s="105">
        <f t="shared" si="3"/>
        <v>60000</v>
      </c>
      <c r="E32" s="67"/>
      <c r="F32" s="62"/>
      <c r="G32" s="98">
        <v>0</v>
      </c>
      <c r="H32" s="106">
        <f t="shared" si="2"/>
        <v>60000</v>
      </c>
      <c r="I32" s="192">
        <v>60000</v>
      </c>
      <c r="K32" s="303">
        <v>0</v>
      </c>
      <c r="L32" s="353">
        <v>19560</v>
      </c>
      <c r="M32" s="354">
        <v>212.34999999999854</v>
      </c>
      <c r="N32" s="387">
        <f t="shared" si="4"/>
        <v>0</v>
      </c>
      <c r="O32" s="355">
        <f>+K32+L32+M32</f>
        <v>19772.35</v>
      </c>
      <c r="P32" s="387">
        <f t="shared" si="5"/>
        <v>40227.65</v>
      </c>
    </row>
    <row r="33" spans="1:16" ht="15">
      <c r="A33" s="416"/>
      <c r="B33" s="93">
        <v>7</v>
      </c>
      <c r="C33" s="96" t="s">
        <v>82</v>
      </c>
      <c r="D33" s="105">
        <f t="shared" si="3"/>
        <v>20000</v>
      </c>
      <c r="E33" s="67"/>
      <c r="F33" s="62"/>
      <c r="G33" s="66">
        <v>0</v>
      </c>
      <c r="H33" s="106">
        <f t="shared" si="2"/>
        <v>20000</v>
      </c>
      <c r="I33" s="192">
        <v>20000</v>
      </c>
      <c r="K33" s="303">
        <v>0</v>
      </c>
      <c r="L33" s="353">
        <v>12350</v>
      </c>
      <c r="M33" s="354">
        <v>0</v>
      </c>
      <c r="N33" s="387">
        <f t="shared" si="4"/>
        <v>0</v>
      </c>
      <c r="O33" s="355">
        <f>+K33+L33+M33</f>
        <v>12350</v>
      </c>
      <c r="P33" s="387">
        <f t="shared" si="5"/>
        <v>7650</v>
      </c>
    </row>
    <row r="34" spans="1:16" ht="15">
      <c r="A34" s="416"/>
      <c r="B34" s="93">
        <v>8</v>
      </c>
      <c r="C34" s="96" t="s">
        <v>83</v>
      </c>
      <c r="D34" s="105">
        <f t="shared" si="3"/>
        <v>100000</v>
      </c>
      <c r="E34" s="67"/>
      <c r="F34" s="62"/>
      <c r="G34" s="66">
        <v>0</v>
      </c>
      <c r="H34" s="106">
        <f t="shared" si="2"/>
        <v>100000</v>
      </c>
      <c r="I34" s="192">
        <v>100000</v>
      </c>
      <c r="K34" s="303">
        <v>11793</v>
      </c>
      <c r="L34" s="353">
        <v>50349</v>
      </c>
      <c r="M34" s="354">
        <v>0</v>
      </c>
      <c r="N34" s="387">
        <f t="shared" si="4"/>
        <v>2290.0599999999977</v>
      </c>
      <c r="O34" s="355">
        <v>64432.06</v>
      </c>
      <c r="P34" s="387">
        <f t="shared" si="5"/>
        <v>35567.94</v>
      </c>
    </row>
    <row r="35" spans="1:16" ht="15">
      <c r="A35" s="416"/>
      <c r="B35" s="93">
        <v>9</v>
      </c>
      <c r="C35" s="96" t="s">
        <v>200</v>
      </c>
      <c r="D35" s="105">
        <f t="shared" si="3"/>
        <v>600000</v>
      </c>
      <c r="E35" s="67"/>
      <c r="F35" s="62"/>
      <c r="G35" s="66">
        <v>0</v>
      </c>
      <c r="H35" s="106">
        <f t="shared" si="2"/>
        <v>600000</v>
      </c>
      <c r="I35" s="192">
        <v>600000</v>
      </c>
      <c r="K35" s="303">
        <v>35985.53</v>
      </c>
      <c r="L35" s="353">
        <v>28389.550000000003</v>
      </c>
      <c r="M35" s="354">
        <v>72278.81999999999</v>
      </c>
      <c r="N35" s="387">
        <f t="shared" si="4"/>
        <v>234295.23</v>
      </c>
      <c r="O35" s="355">
        <v>370949.13</v>
      </c>
      <c r="P35" s="387">
        <f t="shared" si="5"/>
        <v>229050.87</v>
      </c>
    </row>
    <row r="36" spans="1:16" ht="15">
      <c r="A36" s="416"/>
      <c r="B36" s="93">
        <v>10</v>
      </c>
      <c r="C36" s="96" t="s">
        <v>201</v>
      </c>
      <c r="D36" s="105">
        <f t="shared" si="3"/>
        <v>125000</v>
      </c>
      <c r="E36" s="67"/>
      <c r="F36" s="62"/>
      <c r="G36" s="66">
        <v>0</v>
      </c>
      <c r="H36" s="106">
        <f t="shared" si="2"/>
        <v>125000</v>
      </c>
      <c r="I36" s="192">
        <v>125000</v>
      </c>
      <c r="K36" s="303">
        <v>41498.04</v>
      </c>
      <c r="L36" s="354">
        <v>0</v>
      </c>
      <c r="M36" s="354">
        <v>0</v>
      </c>
      <c r="N36" s="387">
        <f t="shared" si="4"/>
        <v>0</v>
      </c>
      <c r="O36" s="355">
        <f>+K36+L36+M36</f>
        <v>41498.04</v>
      </c>
      <c r="P36" s="387">
        <f t="shared" si="5"/>
        <v>83501.95999999999</v>
      </c>
    </row>
    <row r="37" spans="1:16" ht="15">
      <c r="A37" s="416"/>
      <c r="B37" s="93">
        <v>11</v>
      </c>
      <c r="C37" s="96" t="s">
        <v>202</v>
      </c>
      <c r="D37" s="105">
        <f t="shared" si="3"/>
        <v>175000</v>
      </c>
      <c r="E37" s="67"/>
      <c r="F37" s="62"/>
      <c r="G37" s="66">
        <v>0</v>
      </c>
      <c r="H37" s="106">
        <f t="shared" si="2"/>
        <v>175000</v>
      </c>
      <c r="I37" s="192">
        <v>175000</v>
      </c>
      <c r="K37" s="303">
        <v>21346.4</v>
      </c>
      <c r="L37" s="353">
        <v>72547.22</v>
      </c>
      <c r="M37" s="354">
        <v>21760.380000000005</v>
      </c>
      <c r="N37" s="387">
        <f t="shared" si="4"/>
        <v>49639.439999999995</v>
      </c>
      <c r="O37" s="355">
        <v>165293.44</v>
      </c>
      <c r="P37" s="387">
        <f t="shared" si="5"/>
        <v>9706.559999999998</v>
      </c>
    </row>
    <row r="38" spans="1:16" ht="15">
      <c r="A38" s="416"/>
      <c r="B38" s="93">
        <v>12</v>
      </c>
      <c r="C38" s="107" t="s">
        <v>203</v>
      </c>
      <c r="D38" s="105">
        <f t="shared" si="3"/>
        <v>200000</v>
      </c>
      <c r="E38" s="98"/>
      <c r="F38" s="99"/>
      <c r="G38" s="66">
        <v>0</v>
      </c>
      <c r="H38" s="106">
        <f t="shared" si="2"/>
        <v>200000</v>
      </c>
      <c r="I38" s="193">
        <v>200000</v>
      </c>
      <c r="K38" s="303">
        <v>76971.98</v>
      </c>
      <c r="L38" s="353">
        <v>75403.27</v>
      </c>
      <c r="M38" s="354">
        <v>29149.75</v>
      </c>
      <c r="N38" s="387">
        <f t="shared" si="4"/>
        <v>106229.99999999999</v>
      </c>
      <c r="O38" s="355">
        <v>287755</v>
      </c>
      <c r="P38" s="387">
        <f t="shared" si="5"/>
        <v>-87755</v>
      </c>
    </row>
    <row r="39" spans="1:16" ht="15.75" thickBot="1">
      <c r="A39" s="416"/>
      <c r="B39" s="108">
        <v>13</v>
      </c>
      <c r="C39" s="109" t="s">
        <v>84</v>
      </c>
      <c r="D39" s="106">
        <v>0</v>
      </c>
      <c r="E39" s="30"/>
      <c r="F39" s="34"/>
      <c r="G39" s="30">
        <v>4488750</v>
      </c>
      <c r="H39" s="106">
        <f>+D39+G39</f>
        <v>4488750</v>
      </c>
      <c r="I39" s="194">
        <v>4488750</v>
      </c>
      <c r="K39" s="356">
        <v>402830.4</v>
      </c>
      <c r="L39" s="353">
        <v>609636.6</v>
      </c>
      <c r="M39" s="354">
        <v>618493.1999999998</v>
      </c>
      <c r="N39" s="387">
        <f t="shared" si="4"/>
        <v>623439.0000000005</v>
      </c>
      <c r="O39" s="357">
        <v>2254399.2</v>
      </c>
      <c r="P39" s="387">
        <f t="shared" si="5"/>
        <v>2234350.8</v>
      </c>
    </row>
    <row r="40" spans="1:16" ht="15.75" thickBot="1">
      <c r="A40" s="416"/>
      <c r="B40" s="242" t="s">
        <v>85</v>
      </c>
      <c r="C40" s="223" t="s">
        <v>86</v>
      </c>
      <c r="D40" s="222">
        <f>+D41+D42+D43</f>
        <v>360000</v>
      </c>
      <c r="E40" s="221"/>
      <c r="F40" s="222"/>
      <c r="G40" s="221">
        <v>0</v>
      </c>
      <c r="H40" s="222">
        <f t="shared" si="2"/>
        <v>360000</v>
      </c>
      <c r="I40" s="216">
        <f>+I41+I42+I43</f>
        <v>360000</v>
      </c>
      <c r="J40" s="235"/>
      <c r="K40" s="348">
        <v>108420.48999999999</v>
      </c>
      <c r="L40" s="349">
        <v>65624.04000000001</v>
      </c>
      <c r="M40" s="349">
        <v>41358.45000000001</v>
      </c>
      <c r="N40" s="349">
        <f aca="true" t="shared" si="6" ref="N40:N47">+O40-K40-L40-M40</f>
        <v>316891.44</v>
      </c>
      <c r="O40" s="349">
        <f>+O41+O42+O43</f>
        <v>532294.42</v>
      </c>
      <c r="P40" s="349">
        <f aca="true" t="shared" si="7" ref="P40:P62">+H40-O40</f>
        <v>-172294.42000000004</v>
      </c>
    </row>
    <row r="41" spans="1:16" ht="15">
      <c r="A41" s="416"/>
      <c r="B41" s="93">
        <v>1</v>
      </c>
      <c r="C41" s="94" t="s">
        <v>87</v>
      </c>
      <c r="D41" s="95">
        <f>+I41</f>
        <v>200000</v>
      </c>
      <c r="E41" s="67"/>
      <c r="F41" s="62"/>
      <c r="G41" s="67">
        <v>0</v>
      </c>
      <c r="H41" s="63">
        <f t="shared" si="2"/>
        <v>200000</v>
      </c>
      <c r="I41" s="187">
        <v>200000</v>
      </c>
      <c r="K41" s="302">
        <v>74173.15</v>
      </c>
      <c r="L41" s="353">
        <v>20899.89</v>
      </c>
      <c r="M41" s="353">
        <v>0</v>
      </c>
      <c r="N41" s="354">
        <f t="shared" si="6"/>
        <v>272487.92000000004</v>
      </c>
      <c r="O41" s="354">
        <f>365122.96+2438</f>
        <v>367560.96</v>
      </c>
      <c r="P41" s="354">
        <f t="shared" si="7"/>
        <v>-167560.96000000002</v>
      </c>
    </row>
    <row r="42" spans="1:16" ht="15">
      <c r="A42" s="416"/>
      <c r="B42" s="93">
        <v>2</v>
      </c>
      <c r="C42" s="94" t="s">
        <v>88</v>
      </c>
      <c r="D42" s="95">
        <f>+I42</f>
        <v>150000</v>
      </c>
      <c r="E42" s="67"/>
      <c r="F42" s="62"/>
      <c r="G42" s="65">
        <v>0</v>
      </c>
      <c r="H42" s="63">
        <f t="shared" si="2"/>
        <v>150000</v>
      </c>
      <c r="I42" s="188">
        <v>150000</v>
      </c>
      <c r="K42" s="303">
        <v>34247.34</v>
      </c>
      <c r="L42" s="353">
        <v>43364.23000000001</v>
      </c>
      <c r="M42" s="354">
        <v>41358.45</v>
      </c>
      <c r="N42" s="387">
        <f t="shared" si="6"/>
        <v>44226.92</v>
      </c>
      <c r="O42" s="355">
        <v>163196.94</v>
      </c>
      <c r="P42" s="387">
        <f t="shared" si="7"/>
        <v>-13196.940000000002</v>
      </c>
    </row>
    <row r="43" spans="1:16" ht="15.75" thickBot="1">
      <c r="A43" s="416"/>
      <c r="B43" s="93">
        <v>3</v>
      </c>
      <c r="C43" s="94" t="s">
        <v>204</v>
      </c>
      <c r="D43" s="95">
        <f>+I43</f>
        <v>10000</v>
      </c>
      <c r="E43" s="67"/>
      <c r="F43" s="62"/>
      <c r="G43" s="67">
        <v>0</v>
      </c>
      <c r="H43" s="63">
        <f t="shared" si="2"/>
        <v>10000</v>
      </c>
      <c r="I43" s="190">
        <v>10000</v>
      </c>
      <c r="K43" s="356">
        <v>0</v>
      </c>
      <c r="L43" s="353">
        <v>1359.92</v>
      </c>
      <c r="M43" s="354">
        <v>0</v>
      </c>
      <c r="N43" s="387">
        <f t="shared" si="6"/>
        <v>176.5999999999999</v>
      </c>
      <c r="O43" s="357">
        <v>1536.52</v>
      </c>
      <c r="P43" s="387">
        <f t="shared" si="7"/>
        <v>8463.48</v>
      </c>
    </row>
    <row r="44" spans="1:16" ht="15.75" thickBot="1">
      <c r="A44" s="416"/>
      <c r="B44" s="242" t="s">
        <v>89</v>
      </c>
      <c r="C44" s="223" t="s">
        <v>90</v>
      </c>
      <c r="D44" s="222">
        <f>+D45+D46+D47</f>
        <v>645000</v>
      </c>
      <c r="E44" s="221"/>
      <c r="F44" s="222"/>
      <c r="G44" s="221">
        <v>0</v>
      </c>
      <c r="H44" s="222">
        <f t="shared" si="2"/>
        <v>645000</v>
      </c>
      <c r="I44" s="185">
        <f>+I45+I46+I47</f>
        <v>530000</v>
      </c>
      <c r="K44" s="348">
        <v>114778.98</v>
      </c>
      <c r="L44" s="349">
        <v>82713.42000000001</v>
      </c>
      <c r="M44" s="349">
        <v>139115.9</v>
      </c>
      <c r="N44" s="349">
        <f t="shared" si="6"/>
        <v>87180.26000000007</v>
      </c>
      <c r="O44" s="349">
        <f>+O45+O46+O47</f>
        <v>423788.56000000006</v>
      </c>
      <c r="P44" s="349">
        <f t="shared" si="7"/>
        <v>221211.43999999994</v>
      </c>
    </row>
    <row r="45" spans="1:16" ht="15">
      <c r="A45" s="416"/>
      <c r="B45" s="93">
        <v>1</v>
      </c>
      <c r="C45" s="94" t="s">
        <v>91</v>
      </c>
      <c r="D45" s="95">
        <f>+I45</f>
        <v>10000</v>
      </c>
      <c r="E45" s="67"/>
      <c r="F45" s="62"/>
      <c r="G45" s="67">
        <v>0</v>
      </c>
      <c r="H45" s="63">
        <f t="shared" si="2"/>
        <v>10000</v>
      </c>
      <c r="I45" s="187">
        <v>10000</v>
      </c>
      <c r="K45" s="302">
        <v>3225</v>
      </c>
      <c r="L45" s="353">
        <v>785</v>
      </c>
      <c r="M45" s="353">
        <v>3540</v>
      </c>
      <c r="N45" s="354">
        <f t="shared" si="6"/>
        <v>1020</v>
      </c>
      <c r="O45" s="354">
        <v>8570</v>
      </c>
      <c r="P45" s="354">
        <f t="shared" si="7"/>
        <v>1430</v>
      </c>
    </row>
    <row r="46" spans="1:16" ht="15">
      <c r="A46" s="416"/>
      <c r="B46" s="93">
        <v>2</v>
      </c>
      <c r="C46" s="94" t="s">
        <v>92</v>
      </c>
      <c r="D46" s="95">
        <f>+I46</f>
        <v>20000</v>
      </c>
      <c r="E46" s="67"/>
      <c r="F46" s="62"/>
      <c r="G46" s="67">
        <v>0</v>
      </c>
      <c r="H46" s="63">
        <f t="shared" si="2"/>
        <v>20000</v>
      </c>
      <c r="I46" s="188">
        <v>20000</v>
      </c>
      <c r="K46" s="303">
        <v>4604.06</v>
      </c>
      <c r="L46" s="353">
        <v>612.4199999999992</v>
      </c>
      <c r="M46" s="354">
        <v>5042.140000000001</v>
      </c>
      <c r="N46" s="387">
        <f t="shared" si="6"/>
        <v>2885.0999999999995</v>
      </c>
      <c r="O46" s="355">
        <v>13143.72</v>
      </c>
      <c r="P46" s="387">
        <f t="shared" si="7"/>
        <v>6856.280000000001</v>
      </c>
    </row>
    <row r="47" spans="1:16" ht="15.75" thickBot="1">
      <c r="A47" s="416"/>
      <c r="B47" s="93">
        <v>3</v>
      </c>
      <c r="C47" s="94" t="s">
        <v>93</v>
      </c>
      <c r="D47" s="63">
        <v>615000</v>
      </c>
      <c r="E47" s="67"/>
      <c r="F47" s="62"/>
      <c r="G47" s="67">
        <v>0</v>
      </c>
      <c r="H47" s="63">
        <f aca="true" t="shared" si="8" ref="H47:H78">SUM(D47:G47)</f>
        <v>615000</v>
      </c>
      <c r="I47" s="190">
        <v>500000</v>
      </c>
      <c r="K47" s="356">
        <v>106949.92</v>
      </c>
      <c r="L47" s="353">
        <v>81316.00000000001</v>
      </c>
      <c r="M47" s="354">
        <v>130533.76</v>
      </c>
      <c r="N47" s="387">
        <f t="shared" si="6"/>
        <v>83275.16000000005</v>
      </c>
      <c r="O47" s="357">
        <v>402074.84</v>
      </c>
      <c r="P47" s="387">
        <f t="shared" si="7"/>
        <v>212925.15999999997</v>
      </c>
    </row>
    <row r="48" spans="1:16" ht="15.75" thickBot="1">
      <c r="A48" s="416"/>
      <c r="B48" s="242" t="s">
        <v>94</v>
      </c>
      <c r="C48" s="223" t="s">
        <v>95</v>
      </c>
      <c r="D48" s="222">
        <f>+D49+D50+D51</f>
        <v>30000</v>
      </c>
      <c r="E48" s="221"/>
      <c r="F48" s="222"/>
      <c r="G48" s="221">
        <v>0</v>
      </c>
      <c r="H48" s="222">
        <f t="shared" si="8"/>
        <v>30000</v>
      </c>
      <c r="I48" s="239">
        <f>+I49+I50+I51</f>
        <v>30000</v>
      </c>
      <c r="J48" s="235"/>
      <c r="K48" s="348">
        <v>0</v>
      </c>
      <c r="L48" s="349">
        <v>0</v>
      </c>
      <c r="M48" s="349">
        <v>0</v>
      </c>
      <c r="N48" s="349">
        <f>+O48--L48-M48-K48</f>
        <v>21062.83</v>
      </c>
      <c r="O48" s="349">
        <f>+O49+O50+O51</f>
        <v>21062.83</v>
      </c>
      <c r="P48" s="349">
        <f t="shared" si="7"/>
        <v>8937.169999999998</v>
      </c>
    </row>
    <row r="49" spans="1:16" ht="15">
      <c r="A49" s="416"/>
      <c r="B49" s="93">
        <v>1</v>
      </c>
      <c r="C49" s="94" t="s">
        <v>96</v>
      </c>
      <c r="D49" s="95">
        <f>+I49</f>
        <v>10000</v>
      </c>
      <c r="E49" s="67"/>
      <c r="F49" s="62"/>
      <c r="G49" s="67">
        <v>0</v>
      </c>
      <c r="H49" s="63">
        <f t="shared" si="8"/>
        <v>10000</v>
      </c>
      <c r="I49" s="187">
        <v>10000</v>
      </c>
      <c r="K49" s="302">
        <v>0</v>
      </c>
      <c r="L49" s="354">
        <v>0</v>
      </c>
      <c r="M49" s="354">
        <v>0</v>
      </c>
      <c r="N49" s="354">
        <f aca="true" t="shared" si="9" ref="N49:N56">+O49-K49-L49-M49</f>
        <v>10000</v>
      </c>
      <c r="O49" s="354">
        <v>10000</v>
      </c>
      <c r="P49" s="354">
        <f t="shared" si="7"/>
        <v>0</v>
      </c>
    </row>
    <row r="50" spans="1:16" ht="15">
      <c r="A50" s="416"/>
      <c r="B50" s="93">
        <v>2</v>
      </c>
      <c r="C50" s="94" t="s">
        <v>97</v>
      </c>
      <c r="D50" s="95">
        <f>+I50</f>
        <v>10000</v>
      </c>
      <c r="E50" s="67"/>
      <c r="F50" s="62"/>
      <c r="G50" s="67">
        <v>0</v>
      </c>
      <c r="H50" s="63">
        <f t="shared" si="8"/>
        <v>10000</v>
      </c>
      <c r="I50" s="187">
        <v>10000</v>
      </c>
      <c r="K50" s="303">
        <v>0</v>
      </c>
      <c r="L50" s="355">
        <v>0</v>
      </c>
      <c r="M50" s="355">
        <v>0</v>
      </c>
      <c r="N50" s="387">
        <f t="shared" si="9"/>
        <v>10000</v>
      </c>
      <c r="O50" s="355">
        <v>10000</v>
      </c>
      <c r="P50" s="387">
        <f t="shared" si="7"/>
        <v>0</v>
      </c>
    </row>
    <row r="51" spans="1:16" ht="15.75" thickBot="1">
      <c r="A51" s="416"/>
      <c r="B51" s="110">
        <v>3</v>
      </c>
      <c r="C51" s="111" t="s">
        <v>98</v>
      </c>
      <c r="D51" s="112">
        <f>+I51</f>
        <v>10000</v>
      </c>
      <c r="E51" s="113"/>
      <c r="F51" s="114"/>
      <c r="G51" s="113">
        <v>0</v>
      </c>
      <c r="H51" s="115">
        <f t="shared" si="8"/>
        <v>10000</v>
      </c>
      <c r="I51" s="187">
        <v>10000</v>
      </c>
      <c r="K51" s="356">
        <v>0</v>
      </c>
      <c r="L51" s="357">
        <v>0</v>
      </c>
      <c r="M51" s="357">
        <v>0</v>
      </c>
      <c r="N51" s="387">
        <f t="shared" si="9"/>
        <v>1062.83</v>
      </c>
      <c r="O51" s="357">
        <v>1062.83</v>
      </c>
      <c r="P51" s="387">
        <f t="shared" si="7"/>
        <v>8937.17</v>
      </c>
    </row>
    <row r="52" spans="1:16" ht="15.75" thickBot="1">
      <c r="A52" s="416"/>
      <c r="B52" s="242" t="s">
        <v>99</v>
      </c>
      <c r="C52" s="223" t="s">
        <v>100</v>
      </c>
      <c r="D52" s="222">
        <f>+D53+D54</f>
        <v>30000</v>
      </c>
      <c r="E52" s="221"/>
      <c r="F52" s="222"/>
      <c r="G52" s="221">
        <v>0</v>
      </c>
      <c r="H52" s="222">
        <f t="shared" si="8"/>
        <v>30000</v>
      </c>
      <c r="I52" s="185">
        <f>+I53+I54</f>
        <v>30000</v>
      </c>
      <c r="K52" s="348">
        <v>8753.7</v>
      </c>
      <c r="L52" s="349">
        <v>6280.299999999999</v>
      </c>
      <c r="M52" s="349">
        <v>4623.4000000000015</v>
      </c>
      <c r="N52" s="349">
        <f t="shared" si="9"/>
        <v>10422.699999999997</v>
      </c>
      <c r="O52" s="349">
        <f>+O53+O54</f>
        <v>30080.1</v>
      </c>
      <c r="P52" s="349">
        <f t="shared" si="7"/>
        <v>-80.09999999999854</v>
      </c>
    </row>
    <row r="53" spans="1:16" ht="15">
      <c r="A53" s="416"/>
      <c r="B53" s="93">
        <v>1</v>
      </c>
      <c r="C53" s="94" t="s">
        <v>101</v>
      </c>
      <c r="D53" s="95">
        <f>+I53</f>
        <v>25000</v>
      </c>
      <c r="E53" s="67"/>
      <c r="F53" s="62"/>
      <c r="G53" s="67">
        <v>0</v>
      </c>
      <c r="H53" s="63">
        <f t="shared" si="8"/>
        <v>25000</v>
      </c>
      <c r="I53" s="187">
        <v>25000</v>
      </c>
      <c r="K53" s="302">
        <v>8753.7</v>
      </c>
      <c r="L53" s="353">
        <v>6280.299999999999</v>
      </c>
      <c r="M53" s="353">
        <v>4623.4000000000015</v>
      </c>
      <c r="N53" s="354">
        <f t="shared" si="9"/>
        <v>10422.699999999997</v>
      </c>
      <c r="O53" s="354">
        <v>30080.1</v>
      </c>
      <c r="P53" s="354">
        <f t="shared" si="7"/>
        <v>-5080.0999999999985</v>
      </c>
    </row>
    <row r="54" spans="1:16" ht="15.75" thickBot="1">
      <c r="A54" s="416"/>
      <c r="B54" s="93">
        <v>2</v>
      </c>
      <c r="C54" s="94" t="s">
        <v>102</v>
      </c>
      <c r="D54" s="95">
        <f>+I54</f>
        <v>5000</v>
      </c>
      <c r="E54" s="67"/>
      <c r="F54" s="62"/>
      <c r="G54" s="67">
        <v>0</v>
      </c>
      <c r="H54" s="63">
        <f t="shared" si="8"/>
        <v>5000</v>
      </c>
      <c r="I54" s="190">
        <v>5000</v>
      </c>
      <c r="K54" s="356">
        <v>0</v>
      </c>
      <c r="L54" s="357">
        <v>0</v>
      </c>
      <c r="M54" s="354">
        <v>0</v>
      </c>
      <c r="N54" s="352">
        <f t="shared" si="9"/>
        <v>0</v>
      </c>
      <c r="O54" s="357">
        <v>0</v>
      </c>
      <c r="P54" s="387">
        <f t="shared" si="7"/>
        <v>5000</v>
      </c>
    </row>
    <row r="55" spans="1:16" ht="15.75" thickBot="1">
      <c r="A55" s="416"/>
      <c r="B55" s="242" t="s">
        <v>103</v>
      </c>
      <c r="C55" s="223" t="s">
        <v>104</v>
      </c>
      <c r="D55" s="222">
        <f>+D56+D57</f>
        <v>65000</v>
      </c>
      <c r="E55" s="221"/>
      <c r="F55" s="222"/>
      <c r="G55" s="221">
        <v>0</v>
      </c>
      <c r="H55" s="222">
        <f t="shared" si="8"/>
        <v>65000</v>
      </c>
      <c r="I55" s="239">
        <f>+I56+I57</f>
        <v>65000</v>
      </c>
      <c r="J55" s="235"/>
      <c r="K55" s="361">
        <v>44968</v>
      </c>
      <c r="L55" s="349">
        <v>67949.96</v>
      </c>
      <c r="M55" s="349">
        <v>56871.87999999999</v>
      </c>
      <c r="N55" s="349">
        <f t="shared" si="9"/>
        <v>66199.88</v>
      </c>
      <c r="O55" s="349">
        <f>+O56+O57</f>
        <v>235989.72</v>
      </c>
      <c r="P55" s="349">
        <f t="shared" si="7"/>
        <v>-170989.72</v>
      </c>
    </row>
    <row r="56" spans="1:16" ht="15">
      <c r="A56" s="416"/>
      <c r="B56" s="93">
        <v>1</v>
      </c>
      <c r="C56" s="94" t="s">
        <v>105</v>
      </c>
      <c r="D56" s="95">
        <f>+I56</f>
        <v>55000</v>
      </c>
      <c r="E56" s="67"/>
      <c r="F56" s="62"/>
      <c r="G56" s="67">
        <v>0</v>
      </c>
      <c r="H56" s="63">
        <f t="shared" si="8"/>
        <v>55000</v>
      </c>
      <c r="I56" s="187">
        <v>55000</v>
      </c>
      <c r="K56" s="302">
        <v>44968</v>
      </c>
      <c r="L56" s="353">
        <v>67949.96</v>
      </c>
      <c r="M56" s="353">
        <v>56871.87999999999</v>
      </c>
      <c r="N56" s="354">
        <f t="shared" si="9"/>
        <v>66199.88</v>
      </c>
      <c r="O56" s="354">
        <v>235989.72</v>
      </c>
      <c r="P56" s="354">
        <f t="shared" si="7"/>
        <v>-180989.72</v>
      </c>
    </row>
    <row r="57" spans="1:16" ht="15.75" thickBot="1">
      <c r="A57" s="416"/>
      <c r="B57" s="93">
        <v>2</v>
      </c>
      <c r="C57" s="94" t="s">
        <v>106</v>
      </c>
      <c r="D57" s="95">
        <f>+I57</f>
        <v>10000</v>
      </c>
      <c r="E57" s="67"/>
      <c r="F57" s="62"/>
      <c r="G57" s="67">
        <v>0</v>
      </c>
      <c r="H57" s="63">
        <f t="shared" si="8"/>
        <v>10000</v>
      </c>
      <c r="I57" s="190">
        <v>10000</v>
      </c>
      <c r="K57" s="356">
        <v>0</v>
      </c>
      <c r="L57" s="362">
        <v>0</v>
      </c>
      <c r="M57" s="362">
        <v>0</v>
      </c>
      <c r="N57" s="362">
        <v>0</v>
      </c>
      <c r="O57" s="357">
        <v>0</v>
      </c>
      <c r="P57" s="387">
        <f t="shared" si="7"/>
        <v>10000</v>
      </c>
    </row>
    <row r="58" spans="1:16" ht="15.75" thickBot="1">
      <c r="A58" s="416"/>
      <c r="B58" s="242" t="s">
        <v>107</v>
      </c>
      <c r="C58" s="223" t="s">
        <v>108</v>
      </c>
      <c r="D58" s="222">
        <f>+D59+D60+D61</f>
        <v>168982</v>
      </c>
      <c r="E58" s="221"/>
      <c r="F58" s="222"/>
      <c r="G58" s="221">
        <v>0</v>
      </c>
      <c r="H58" s="222">
        <f t="shared" si="8"/>
        <v>168982</v>
      </c>
      <c r="I58" s="185">
        <f>+I59+I60+I61</f>
        <v>168982</v>
      </c>
      <c r="K58" s="348">
        <v>20716.960000000003</v>
      </c>
      <c r="L58" s="349">
        <v>73596.59</v>
      </c>
      <c r="M58" s="349">
        <v>24345.749999999985</v>
      </c>
      <c r="N58" s="349">
        <f>+O58-K58-L58-M58</f>
        <v>26695.5</v>
      </c>
      <c r="O58" s="349">
        <f>+O59+O60+O61</f>
        <v>145354.8</v>
      </c>
      <c r="P58" s="349">
        <f t="shared" si="7"/>
        <v>23627.20000000001</v>
      </c>
    </row>
    <row r="59" spans="1:16" ht="15">
      <c r="A59" s="416"/>
      <c r="B59" s="93">
        <v>1</v>
      </c>
      <c r="C59" s="94" t="s">
        <v>109</v>
      </c>
      <c r="D59" s="95">
        <v>5000</v>
      </c>
      <c r="E59" s="67"/>
      <c r="F59" s="62"/>
      <c r="G59" s="67">
        <v>0</v>
      </c>
      <c r="H59" s="63">
        <f t="shared" si="8"/>
        <v>5000</v>
      </c>
      <c r="I59" s="187">
        <v>30000</v>
      </c>
      <c r="K59" s="302">
        <v>580.24</v>
      </c>
      <c r="L59" s="353">
        <v>1586.18</v>
      </c>
      <c r="M59" s="353">
        <v>1248.7900000000002</v>
      </c>
      <c r="N59" s="354">
        <f>+O59-K59-L59-M59</f>
        <v>866.8399999999999</v>
      </c>
      <c r="O59" s="354">
        <v>4282.05</v>
      </c>
      <c r="P59" s="354">
        <f t="shared" si="7"/>
        <v>717.9499999999998</v>
      </c>
    </row>
    <row r="60" spans="1:16" ht="15">
      <c r="A60" s="416"/>
      <c r="B60" s="93">
        <v>2</v>
      </c>
      <c r="C60" s="94" t="s">
        <v>110</v>
      </c>
      <c r="D60" s="95">
        <v>75000</v>
      </c>
      <c r="E60" s="67"/>
      <c r="F60" s="62"/>
      <c r="G60" s="67">
        <v>0</v>
      </c>
      <c r="H60" s="63">
        <f t="shared" si="8"/>
        <v>75000</v>
      </c>
      <c r="I60" s="188">
        <v>60000</v>
      </c>
      <c r="K60" s="303">
        <v>18035.66</v>
      </c>
      <c r="L60" s="353">
        <v>23089.76</v>
      </c>
      <c r="M60" s="354">
        <v>18910.960000000003</v>
      </c>
      <c r="N60" s="387">
        <f>+O60-K60-L60-M60</f>
        <v>23263.659999999993</v>
      </c>
      <c r="O60" s="355">
        <v>83300.04</v>
      </c>
      <c r="P60" s="387">
        <f t="shared" si="7"/>
        <v>-8300.039999999994</v>
      </c>
    </row>
    <row r="61" spans="1:16" ht="15.75" thickBot="1">
      <c r="A61" s="416"/>
      <c r="B61" s="93">
        <v>3</v>
      </c>
      <c r="C61" s="94" t="s">
        <v>111</v>
      </c>
      <c r="D61" s="95">
        <v>88982</v>
      </c>
      <c r="E61" s="67"/>
      <c r="F61" s="62"/>
      <c r="G61" s="67">
        <v>0</v>
      </c>
      <c r="H61" s="63">
        <f t="shared" si="8"/>
        <v>88982</v>
      </c>
      <c r="I61" s="190">
        <v>78982</v>
      </c>
      <c r="K61" s="356">
        <v>2101.06</v>
      </c>
      <c r="L61" s="353">
        <v>48920.65</v>
      </c>
      <c r="M61" s="354">
        <v>4186</v>
      </c>
      <c r="N61" s="387">
        <f>+O61-K61-L61-M61</f>
        <v>2565</v>
      </c>
      <c r="O61" s="357">
        <v>57772.71</v>
      </c>
      <c r="P61" s="387">
        <f t="shared" si="7"/>
        <v>31209.29</v>
      </c>
    </row>
    <row r="62" spans="1:16" ht="15.75" thickBot="1">
      <c r="A62" s="416"/>
      <c r="B62" s="90" t="s">
        <v>112</v>
      </c>
      <c r="C62" s="223" t="s">
        <v>113</v>
      </c>
      <c r="D62" s="222">
        <f>+D63+D64+D65+D66+D67+D68+D69+D70+D71+D72</f>
        <v>1550000</v>
      </c>
      <c r="E62" s="221"/>
      <c r="F62" s="222"/>
      <c r="G62" s="221">
        <v>0</v>
      </c>
      <c r="H62" s="222">
        <f t="shared" si="8"/>
        <v>1550000</v>
      </c>
      <c r="I62" s="185">
        <f>+I63+I64+I65+I66+I67+I68+I69+I70+I71+I72</f>
        <v>1550000</v>
      </c>
      <c r="K62" s="348">
        <v>493411.11</v>
      </c>
      <c r="L62" s="349">
        <v>468603.14000000013</v>
      </c>
      <c r="M62" s="349">
        <v>136103.82999999996</v>
      </c>
      <c r="N62" s="349">
        <f>+O62-M62-L62-K62</f>
        <v>673202.8099999999</v>
      </c>
      <c r="O62" s="349">
        <f>+O63+O64+O65+O66+O67+O68+O69+O70+O71+O72</f>
        <v>1771320.8900000001</v>
      </c>
      <c r="P62" s="349">
        <f t="shared" si="7"/>
        <v>-221320.89000000013</v>
      </c>
    </row>
    <row r="63" spans="1:16" ht="15">
      <c r="A63" s="416"/>
      <c r="B63" s="93">
        <v>1</v>
      </c>
      <c r="C63" s="94" t="s">
        <v>114</v>
      </c>
      <c r="D63" s="95">
        <f aca="true" t="shared" si="10" ref="D63:D72">+I63</f>
        <v>50000</v>
      </c>
      <c r="E63" s="67"/>
      <c r="F63" s="62"/>
      <c r="G63" s="67">
        <v>0</v>
      </c>
      <c r="H63" s="95">
        <f t="shared" si="8"/>
        <v>50000</v>
      </c>
      <c r="I63" s="187">
        <v>50000</v>
      </c>
      <c r="K63" s="302">
        <v>9106.64</v>
      </c>
      <c r="L63" s="353">
        <v>37553.520000000004</v>
      </c>
      <c r="M63" s="353">
        <v>13789.949999999997</v>
      </c>
      <c r="N63" s="354">
        <f>+O63-M63-L63-K63</f>
        <v>22673.940000000002</v>
      </c>
      <c r="O63" s="354">
        <v>83124.05</v>
      </c>
      <c r="P63" s="354">
        <f>+H63-O63</f>
        <v>-33124.05</v>
      </c>
    </row>
    <row r="64" spans="1:16" ht="15">
      <c r="A64" s="416"/>
      <c r="B64" s="93">
        <v>2</v>
      </c>
      <c r="C64" s="94" t="s">
        <v>115</v>
      </c>
      <c r="D64" s="95">
        <f t="shared" si="10"/>
        <v>30000</v>
      </c>
      <c r="E64" s="67"/>
      <c r="F64" s="62"/>
      <c r="G64" s="67">
        <v>0</v>
      </c>
      <c r="H64" s="95">
        <f t="shared" si="8"/>
        <v>30000</v>
      </c>
      <c r="I64" s="188">
        <v>30000</v>
      </c>
      <c r="K64" s="303">
        <v>960</v>
      </c>
      <c r="L64" s="353">
        <v>0</v>
      </c>
      <c r="M64" s="354">
        <v>1536.8000000000002</v>
      </c>
      <c r="N64" s="387">
        <f aca="true" t="shared" si="11" ref="N64:N72">+O64-M64-L64-K64</f>
        <v>15472</v>
      </c>
      <c r="O64" s="355">
        <f>17426+542.8</f>
        <v>17968.8</v>
      </c>
      <c r="P64" s="387">
        <f aca="true" t="shared" si="12" ref="P64:P72">+H64-O64</f>
        <v>12031.2</v>
      </c>
    </row>
    <row r="65" spans="1:16" ht="15">
      <c r="A65" s="416"/>
      <c r="B65" s="93">
        <v>3</v>
      </c>
      <c r="C65" s="94" t="s">
        <v>116</v>
      </c>
      <c r="D65" s="95">
        <f t="shared" si="10"/>
        <v>20000</v>
      </c>
      <c r="E65" s="67"/>
      <c r="F65" s="62"/>
      <c r="G65" s="67">
        <v>0</v>
      </c>
      <c r="H65" s="95">
        <f t="shared" si="8"/>
        <v>20000</v>
      </c>
      <c r="I65" s="188">
        <v>20000</v>
      </c>
      <c r="K65" s="303">
        <v>4904.69</v>
      </c>
      <c r="L65" s="353">
        <v>5278.45</v>
      </c>
      <c r="M65" s="354">
        <v>7868.760000000003</v>
      </c>
      <c r="N65" s="387">
        <f t="shared" si="11"/>
        <v>11312.849999999999</v>
      </c>
      <c r="O65" s="355">
        <v>29364.75</v>
      </c>
      <c r="P65" s="387">
        <f t="shared" si="12"/>
        <v>-9364.75</v>
      </c>
    </row>
    <row r="66" spans="1:16" ht="15">
      <c r="A66" s="416"/>
      <c r="B66" s="93">
        <v>4</v>
      </c>
      <c r="C66" s="96" t="s">
        <v>117</v>
      </c>
      <c r="D66" s="95">
        <f t="shared" si="10"/>
        <v>20000</v>
      </c>
      <c r="E66" s="67"/>
      <c r="F66" s="62"/>
      <c r="G66" s="67">
        <v>0</v>
      </c>
      <c r="H66" s="95">
        <f t="shared" si="8"/>
        <v>20000</v>
      </c>
      <c r="I66" s="188">
        <v>20000</v>
      </c>
      <c r="K66" s="303">
        <v>6955</v>
      </c>
      <c r="L66" s="353">
        <v>1660</v>
      </c>
      <c r="M66" s="354">
        <v>15787.5</v>
      </c>
      <c r="N66" s="387">
        <f t="shared" si="11"/>
        <v>7302.5</v>
      </c>
      <c r="O66" s="355">
        <v>31705</v>
      </c>
      <c r="P66" s="387">
        <f t="shared" si="12"/>
        <v>-11705</v>
      </c>
    </row>
    <row r="67" spans="1:16" ht="15">
      <c r="A67" s="416"/>
      <c r="B67" s="93">
        <v>5</v>
      </c>
      <c r="C67" s="94" t="s">
        <v>118</v>
      </c>
      <c r="D67" s="62">
        <f t="shared" si="10"/>
        <v>50000</v>
      </c>
      <c r="E67" s="67"/>
      <c r="F67" s="62"/>
      <c r="G67" s="67">
        <v>0</v>
      </c>
      <c r="H67" s="95">
        <f t="shared" si="8"/>
        <v>50000</v>
      </c>
      <c r="I67" s="188">
        <v>50000</v>
      </c>
      <c r="K67" s="303">
        <v>0</v>
      </c>
      <c r="L67" s="353">
        <v>27730</v>
      </c>
      <c r="M67" s="354">
        <v>0</v>
      </c>
      <c r="N67" s="387">
        <f t="shared" si="11"/>
        <v>15798</v>
      </c>
      <c r="O67" s="355">
        <v>43528</v>
      </c>
      <c r="P67" s="387">
        <f t="shared" si="12"/>
        <v>6472</v>
      </c>
    </row>
    <row r="68" spans="1:16" ht="39">
      <c r="A68" s="416"/>
      <c r="B68" s="93">
        <v>6</v>
      </c>
      <c r="C68" s="116" t="s">
        <v>119</v>
      </c>
      <c r="D68" s="62">
        <f t="shared" si="10"/>
        <v>550000</v>
      </c>
      <c r="E68" s="67"/>
      <c r="F68" s="62"/>
      <c r="G68" s="67">
        <v>0</v>
      </c>
      <c r="H68" s="62">
        <f t="shared" si="8"/>
        <v>550000</v>
      </c>
      <c r="I68" s="188">
        <v>550000</v>
      </c>
      <c r="K68" s="303">
        <v>435066.86</v>
      </c>
      <c r="L68" s="353">
        <v>110740.88</v>
      </c>
      <c r="M68" s="354">
        <v>0</v>
      </c>
      <c r="N68" s="387">
        <f t="shared" si="11"/>
        <v>213251.17000000004</v>
      </c>
      <c r="O68" s="355">
        <v>759058.91</v>
      </c>
      <c r="P68" s="387">
        <f t="shared" si="12"/>
        <v>-209058.91000000003</v>
      </c>
    </row>
    <row r="69" spans="1:16" ht="15">
      <c r="A69" s="416"/>
      <c r="B69" s="93">
        <v>7</v>
      </c>
      <c r="C69" s="94" t="s">
        <v>120</v>
      </c>
      <c r="D69" s="62">
        <f t="shared" si="10"/>
        <v>640000</v>
      </c>
      <c r="E69" s="67"/>
      <c r="F69" s="62"/>
      <c r="G69" s="65">
        <v>0</v>
      </c>
      <c r="H69" s="62">
        <f t="shared" si="8"/>
        <v>640000</v>
      </c>
      <c r="I69" s="188">
        <v>640000</v>
      </c>
      <c r="K69" s="303">
        <v>0</v>
      </c>
      <c r="L69" s="353">
        <v>240714.07</v>
      </c>
      <c r="M69" s="354">
        <v>73489.31</v>
      </c>
      <c r="N69" s="387">
        <f t="shared" si="11"/>
        <v>318788.96</v>
      </c>
      <c r="O69" s="355">
        <v>632992.34</v>
      </c>
      <c r="P69" s="387">
        <f t="shared" si="12"/>
        <v>7007.660000000033</v>
      </c>
    </row>
    <row r="70" spans="1:16" ht="15">
      <c r="A70" s="416"/>
      <c r="B70" s="93">
        <v>8</v>
      </c>
      <c r="C70" s="94" t="s">
        <v>121</v>
      </c>
      <c r="D70" s="62">
        <f t="shared" si="10"/>
        <v>30000</v>
      </c>
      <c r="E70" s="67"/>
      <c r="F70" s="62"/>
      <c r="G70" s="67">
        <v>0</v>
      </c>
      <c r="H70" s="62">
        <f t="shared" si="8"/>
        <v>30000</v>
      </c>
      <c r="I70" s="188">
        <v>30000</v>
      </c>
      <c r="K70" s="303">
        <v>2451.32</v>
      </c>
      <c r="L70" s="353">
        <v>7514.42</v>
      </c>
      <c r="M70" s="354">
        <v>4424.82</v>
      </c>
      <c r="N70" s="387">
        <f t="shared" si="11"/>
        <v>9532.300000000001</v>
      </c>
      <c r="O70" s="355">
        <v>23922.86</v>
      </c>
      <c r="P70" s="387">
        <f t="shared" si="12"/>
        <v>6077.139999999999</v>
      </c>
    </row>
    <row r="71" spans="1:16" ht="15">
      <c r="A71" s="416"/>
      <c r="B71" s="93">
        <v>9</v>
      </c>
      <c r="C71" s="117" t="s">
        <v>205</v>
      </c>
      <c r="D71" s="62">
        <f t="shared" si="10"/>
        <v>150000</v>
      </c>
      <c r="E71" s="67"/>
      <c r="F71" s="62"/>
      <c r="G71" s="67">
        <v>0</v>
      </c>
      <c r="H71" s="62">
        <f t="shared" si="8"/>
        <v>150000</v>
      </c>
      <c r="I71" s="188">
        <v>150000</v>
      </c>
      <c r="K71" s="303">
        <v>33966.6</v>
      </c>
      <c r="L71" s="353">
        <v>37411.799999999996</v>
      </c>
      <c r="M71" s="354">
        <v>19206.690000000002</v>
      </c>
      <c r="N71" s="387">
        <f t="shared" si="11"/>
        <v>59071.090000000004</v>
      </c>
      <c r="O71" s="355">
        <v>149656.18</v>
      </c>
      <c r="P71" s="387">
        <f t="shared" si="12"/>
        <v>343.820000000007</v>
      </c>
    </row>
    <row r="72" spans="1:16" ht="15.75" thickBot="1">
      <c r="A72" s="416"/>
      <c r="B72" s="93">
        <v>10</v>
      </c>
      <c r="C72" s="94" t="s">
        <v>122</v>
      </c>
      <c r="D72" s="62">
        <f t="shared" si="10"/>
        <v>10000</v>
      </c>
      <c r="E72" s="67"/>
      <c r="F72" s="62"/>
      <c r="G72" s="67">
        <v>0</v>
      </c>
      <c r="H72" s="62">
        <f t="shared" si="8"/>
        <v>10000</v>
      </c>
      <c r="I72" s="190">
        <v>10000</v>
      </c>
      <c r="K72" s="356">
        <v>0</v>
      </c>
      <c r="L72" s="353">
        <v>0</v>
      </c>
      <c r="M72" s="354">
        <v>0</v>
      </c>
      <c r="N72" s="387">
        <f t="shared" si="11"/>
        <v>0</v>
      </c>
      <c r="O72" s="357"/>
      <c r="P72" s="387">
        <f t="shared" si="12"/>
        <v>10000</v>
      </c>
    </row>
    <row r="73" spans="1:16" ht="15.75" thickBot="1">
      <c r="A73" s="416"/>
      <c r="B73" s="90" t="s">
        <v>123</v>
      </c>
      <c r="C73" s="219" t="s">
        <v>124</v>
      </c>
      <c r="D73" s="247">
        <f>+D74+D75+D76+D77+D78+D79</f>
        <v>845000</v>
      </c>
      <c r="E73" s="248"/>
      <c r="F73" s="247"/>
      <c r="G73" s="248">
        <v>0</v>
      </c>
      <c r="H73" s="247">
        <f t="shared" si="8"/>
        <v>845000</v>
      </c>
      <c r="I73" s="185">
        <v>845000</v>
      </c>
      <c r="K73" s="348">
        <v>245496.06999999998</v>
      </c>
      <c r="L73" s="349">
        <v>214212.80000000002</v>
      </c>
      <c r="M73" s="349">
        <v>183184.78000000017</v>
      </c>
      <c r="N73" s="349">
        <f aca="true" t="shared" si="13" ref="N73:N79">+O73-K73-L73-M73</f>
        <v>200630.46999999983</v>
      </c>
      <c r="O73" s="349">
        <f>+O74+O75+O76+O77+O78+O79</f>
        <v>843524.12</v>
      </c>
      <c r="P73" s="349">
        <f aca="true" t="shared" si="14" ref="P73:P79">+H73-O73</f>
        <v>1475.8800000000047</v>
      </c>
    </row>
    <row r="74" spans="1:16" ht="15">
      <c r="A74" s="416"/>
      <c r="B74" s="85">
        <v>1</v>
      </c>
      <c r="C74" s="118" t="s">
        <v>125</v>
      </c>
      <c r="D74" s="104">
        <f aca="true" t="shared" si="15" ref="D74:D79">+I74</f>
        <v>500000</v>
      </c>
      <c r="E74" s="67"/>
      <c r="F74" s="62"/>
      <c r="G74" s="67">
        <v>0</v>
      </c>
      <c r="H74" s="104">
        <f t="shared" si="8"/>
        <v>500000</v>
      </c>
      <c r="I74" s="187">
        <v>500000</v>
      </c>
      <c r="K74" s="302">
        <v>163598.74</v>
      </c>
      <c r="L74" s="353">
        <v>128131.46000000002</v>
      </c>
      <c r="M74" s="353">
        <v>132149.28999999998</v>
      </c>
      <c r="N74" s="354">
        <f t="shared" si="13"/>
        <v>126360.75</v>
      </c>
      <c r="O74" s="354">
        <v>550240.24</v>
      </c>
      <c r="P74" s="354">
        <f t="shared" si="14"/>
        <v>-50240.23999999999</v>
      </c>
    </row>
    <row r="75" spans="1:16" ht="15">
      <c r="A75" s="416"/>
      <c r="B75" s="93">
        <v>2</v>
      </c>
      <c r="C75" s="118" t="s">
        <v>126</v>
      </c>
      <c r="D75" s="95">
        <f t="shared" si="15"/>
        <v>100000</v>
      </c>
      <c r="E75" s="67"/>
      <c r="F75" s="62"/>
      <c r="G75" s="67">
        <v>0</v>
      </c>
      <c r="H75" s="95">
        <f t="shared" si="8"/>
        <v>100000</v>
      </c>
      <c r="I75" s="188">
        <v>100000</v>
      </c>
      <c r="K75" s="303">
        <v>7045.88</v>
      </c>
      <c r="L75" s="353">
        <v>36404.950000000004</v>
      </c>
      <c r="M75" s="353">
        <v>30051.16999999999</v>
      </c>
      <c r="N75" s="354">
        <f t="shared" si="13"/>
        <v>46497.99999999999</v>
      </c>
      <c r="O75" s="355">
        <v>120000</v>
      </c>
      <c r="P75" s="354">
        <f t="shared" si="14"/>
        <v>-20000</v>
      </c>
    </row>
    <row r="76" spans="1:16" ht="15">
      <c r="A76" s="416"/>
      <c r="B76" s="93">
        <v>3</v>
      </c>
      <c r="C76" s="94" t="s">
        <v>206</v>
      </c>
      <c r="D76" s="95">
        <f t="shared" si="15"/>
        <v>100000</v>
      </c>
      <c r="E76" s="67"/>
      <c r="F76" s="62"/>
      <c r="G76" s="67">
        <v>0</v>
      </c>
      <c r="H76" s="95">
        <f t="shared" si="8"/>
        <v>100000</v>
      </c>
      <c r="I76" s="188">
        <v>100000</v>
      </c>
      <c r="K76" s="303">
        <v>48034.62</v>
      </c>
      <c r="L76" s="353">
        <v>26134.299999999996</v>
      </c>
      <c r="M76" s="353">
        <v>0</v>
      </c>
      <c r="N76" s="354">
        <f t="shared" si="13"/>
        <v>9281.590000000011</v>
      </c>
      <c r="O76" s="355">
        <f>76404.63+7045.88</f>
        <v>83450.51000000001</v>
      </c>
      <c r="P76" s="354">
        <f t="shared" si="14"/>
        <v>16549.48999999999</v>
      </c>
    </row>
    <row r="77" spans="1:16" ht="15">
      <c r="A77" s="416"/>
      <c r="B77" s="93">
        <v>4</v>
      </c>
      <c r="C77" s="94" t="s">
        <v>127</v>
      </c>
      <c r="D77" s="95">
        <f t="shared" si="15"/>
        <v>65000</v>
      </c>
      <c r="E77" s="67"/>
      <c r="F77" s="62"/>
      <c r="G77" s="67">
        <v>0</v>
      </c>
      <c r="H77" s="95">
        <f t="shared" si="8"/>
        <v>65000</v>
      </c>
      <c r="I77" s="188">
        <v>65000</v>
      </c>
      <c r="K77" s="303">
        <v>13661.72</v>
      </c>
      <c r="L77" s="353">
        <v>13686.390000000001</v>
      </c>
      <c r="M77" s="353">
        <v>13241.929999999998</v>
      </c>
      <c r="N77" s="354">
        <f t="shared" si="13"/>
        <v>8579.729999999998</v>
      </c>
      <c r="O77" s="355">
        <v>49169.77</v>
      </c>
      <c r="P77" s="354">
        <f t="shared" si="14"/>
        <v>15830.230000000003</v>
      </c>
    </row>
    <row r="78" spans="1:16" ht="15">
      <c r="A78" s="416"/>
      <c r="B78" s="93">
        <v>5</v>
      </c>
      <c r="C78" s="94" t="s">
        <v>128</v>
      </c>
      <c r="D78" s="95">
        <f t="shared" si="15"/>
        <v>40000</v>
      </c>
      <c r="E78" s="67"/>
      <c r="F78" s="62"/>
      <c r="G78" s="67">
        <v>0</v>
      </c>
      <c r="H78" s="95">
        <f t="shared" si="8"/>
        <v>40000</v>
      </c>
      <c r="I78" s="188">
        <v>40000</v>
      </c>
      <c r="K78" s="303">
        <v>3002.52</v>
      </c>
      <c r="L78" s="353">
        <v>4374.49</v>
      </c>
      <c r="M78" s="353">
        <v>3125.01</v>
      </c>
      <c r="N78" s="354">
        <f t="shared" si="13"/>
        <v>3896.2199999999993</v>
      </c>
      <c r="O78" s="355">
        <v>14398.24</v>
      </c>
      <c r="P78" s="354">
        <f t="shared" si="14"/>
        <v>25601.760000000002</v>
      </c>
    </row>
    <row r="79" spans="1:16" ht="15.75" thickBot="1">
      <c r="A79" s="417"/>
      <c r="B79" s="110">
        <v>6</v>
      </c>
      <c r="C79" s="111" t="s">
        <v>129</v>
      </c>
      <c r="D79" s="112">
        <f t="shared" si="15"/>
        <v>40000</v>
      </c>
      <c r="E79" s="113"/>
      <c r="F79" s="114"/>
      <c r="G79" s="113">
        <v>0</v>
      </c>
      <c r="H79" s="112">
        <f>SUM(D79:G79)</f>
        <v>40000</v>
      </c>
      <c r="I79" s="190">
        <v>40000</v>
      </c>
      <c r="K79" s="356">
        <v>10152.59</v>
      </c>
      <c r="L79" s="353">
        <v>5481.209999999999</v>
      </c>
      <c r="M79" s="353">
        <v>4617.380000000001</v>
      </c>
      <c r="N79" s="352">
        <f t="shared" si="13"/>
        <v>6014.18</v>
      </c>
      <c r="O79" s="357">
        <v>26265.36</v>
      </c>
      <c r="P79" s="354">
        <f t="shared" si="14"/>
        <v>13734.64</v>
      </c>
    </row>
    <row r="80" spans="1:16" ht="15.75" thickBot="1">
      <c r="A80" s="69"/>
      <c r="B80" s="258" t="s">
        <v>130</v>
      </c>
      <c r="C80" s="259" t="s">
        <v>0</v>
      </c>
      <c r="D80" s="260">
        <v>0</v>
      </c>
      <c r="E80" s="261"/>
      <c r="F80" s="260"/>
      <c r="G80" s="261">
        <f>+G81+G89+G103+G128+G130+G142+G156+G160+G163+G165</f>
        <v>18154281</v>
      </c>
      <c r="H80" s="260">
        <f>+H81+H89+H103+H128+H130+H142+H156+H160+H163+H165</f>
        <v>21664207</v>
      </c>
      <c r="I80" s="262"/>
      <c r="J80" s="263"/>
      <c r="K80" s="346">
        <v>453776.28</v>
      </c>
      <c r="L80" s="347">
        <v>4375841.76</v>
      </c>
      <c r="M80" s="347">
        <v>3057563.7299999986</v>
      </c>
      <c r="N80" s="347">
        <f>+O80-K80-L80-M80</f>
        <v>2838215.1500000022</v>
      </c>
      <c r="O80" s="347">
        <f>+O81+O89+O103+O128+O130+O141+O160+O163+O165</f>
        <v>10725396.92</v>
      </c>
      <c r="P80" s="347">
        <f>+H80-O80</f>
        <v>10938810.08</v>
      </c>
    </row>
    <row r="81" spans="1:16" ht="15.75" thickBot="1">
      <c r="A81" s="84"/>
      <c r="B81" s="264" t="s">
        <v>131</v>
      </c>
      <c r="C81" s="259" t="s">
        <v>132</v>
      </c>
      <c r="D81" s="265">
        <v>0</v>
      </c>
      <c r="E81" s="266"/>
      <c r="F81" s="265"/>
      <c r="G81" s="267">
        <v>435000</v>
      </c>
      <c r="H81" s="268">
        <f>+H82+H83+H84+H85+H86+H87+H88</f>
        <v>435000</v>
      </c>
      <c r="I81" s="269">
        <f>+I82+I83+I85+I86+I87+I88+I84</f>
        <v>435000</v>
      </c>
      <c r="J81" s="263"/>
      <c r="K81" s="346">
        <v>27669.2</v>
      </c>
      <c r="L81" s="347">
        <v>163737.71</v>
      </c>
      <c r="M81" s="347">
        <v>0</v>
      </c>
      <c r="N81" s="347">
        <f>+O81-K81-L81-M81</f>
        <v>100085.64000000004</v>
      </c>
      <c r="O81" s="347">
        <f>+O82+O83+O84+O85+O86+O87+O88</f>
        <v>291492.55000000005</v>
      </c>
      <c r="P81" s="347">
        <f>+H81-O81</f>
        <v>143507.44999999995</v>
      </c>
    </row>
    <row r="82" spans="1:16" ht="15">
      <c r="A82" s="84"/>
      <c r="B82" s="119">
        <v>1</v>
      </c>
      <c r="C82" s="4" t="s">
        <v>1</v>
      </c>
      <c r="D82" s="5">
        <v>0</v>
      </c>
      <c r="E82" s="6"/>
      <c r="F82" s="5"/>
      <c r="G82" s="7">
        <v>100000</v>
      </c>
      <c r="H82" s="8">
        <v>100000</v>
      </c>
      <c r="I82" s="195">
        <v>100000</v>
      </c>
      <c r="K82" s="302">
        <v>0</v>
      </c>
      <c r="L82" s="353">
        <v>48746</v>
      </c>
      <c r="M82" s="353">
        <v>0</v>
      </c>
      <c r="N82" s="354">
        <f>+O82-K82-L82-M82</f>
        <v>4955.760000000002</v>
      </c>
      <c r="O82" s="354">
        <v>53701.76</v>
      </c>
      <c r="P82" s="354">
        <f>+H82-O82</f>
        <v>46298.24</v>
      </c>
    </row>
    <row r="83" spans="1:16" ht="15">
      <c r="A83" s="84"/>
      <c r="B83" s="120">
        <v>2</v>
      </c>
      <c r="C83" s="9" t="s">
        <v>207</v>
      </c>
      <c r="D83" s="5">
        <v>0</v>
      </c>
      <c r="E83" s="6"/>
      <c r="F83" s="5"/>
      <c r="G83" s="10">
        <v>35000</v>
      </c>
      <c r="H83" s="11">
        <v>35000</v>
      </c>
      <c r="I83" s="196">
        <v>35000</v>
      </c>
      <c r="K83" s="303">
        <v>0</v>
      </c>
      <c r="L83" s="353">
        <v>0</v>
      </c>
      <c r="M83" s="353">
        <v>0</v>
      </c>
      <c r="N83" s="387">
        <f aca="true" t="shared" si="16" ref="N83:N88">+O83-K83-L83-M83</f>
        <v>18843.12</v>
      </c>
      <c r="O83" s="355">
        <v>18843.12</v>
      </c>
      <c r="P83" s="387">
        <f aca="true" t="shared" si="17" ref="P83:P88">+H83-O83</f>
        <v>16156.880000000001</v>
      </c>
    </row>
    <row r="84" spans="1:16" ht="15">
      <c r="A84" s="84"/>
      <c r="B84" s="120">
        <v>3</v>
      </c>
      <c r="C84" s="9" t="s">
        <v>208</v>
      </c>
      <c r="D84" s="5">
        <v>0</v>
      </c>
      <c r="E84" s="6"/>
      <c r="F84" s="5"/>
      <c r="G84" s="10">
        <v>70000</v>
      </c>
      <c r="H84" s="11">
        <v>70000</v>
      </c>
      <c r="I84" s="196">
        <v>70000</v>
      </c>
      <c r="K84" s="303">
        <v>27669.2</v>
      </c>
      <c r="L84" s="353">
        <v>0</v>
      </c>
      <c r="M84" s="353">
        <v>0</v>
      </c>
      <c r="N84" s="387">
        <f t="shared" si="16"/>
        <v>33480</v>
      </c>
      <c r="O84" s="355">
        <v>61149.2</v>
      </c>
      <c r="P84" s="387">
        <f t="shared" si="17"/>
        <v>8850.800000000003</v>
      </c>
    </row>
    <row r="85" spans="1:16" ht="15">
      <c r="A85" s="84"/>
      <c r="B85" s="120">
        <v>4</v>
      </c>
      <c r="C85" s="12" t="s">
        <v>209</v>
      </c>
      <c r="D85" s="5">
        <v>0</v>
      </c>
      <c r="E85" s="6"/>
      <c r="F85" s="5"/>
      <c r="G85" s="10">
        <v>50000</v>
      </c>
      <c r="H85" s="11">
        <v>50000</v>
      </c>
      <c r="I85" s="196">
        <v>50000</v>
      </c>
      <c r="K85" s="303">
        <v>0</v>
      </c>
      <c r="L85" s="353">
        <v>0</v>
      </c>
      <c r="M85" s="353">
        <v>0</v>
      </c>
      <c r="N85" s="387">
        <f t="shared" si="16"/>
        <v>42806.76</v>
      </c>
      <c r="O85" s="355">
        <v>42806.76</v>
      </c>
      <c r="P85" s="387">
        <f t="shared" si="17"/>
        <v>7193.239999999998</v>
      </c>
    </row>
    <row r="86" spans="1:16" ht="15">
      <c r="A86" s="84"/>
      <c r="B86" s="120">
        <v>5</v>
      </c>
      <c r="C86" s="13" t="s">
        <v>2</v>
      </c>
      <c r="D86" s="5">
        <v>0</v>
      </c>
      <c r="E86" s="6"/>
      <c r="F86" s="5"/>
      <c r="G86" s="14">
        <v>20000</v>
      </c>
      <c r="H86" s="11">
        <v>20000</v>
      </c>
      <c r="I86" s="196">
        <v>20000</v>
      </c>
      <c r="K86" s="303">
        <v>0</v>
      </c>
      <c r="L86" s="353">
        <v>0</v>
      </c>
      <c r="M86" s="353">
        <v>0</v>
      </c>
      <c r="N86" s="387">
        <f t="shared" si="16"/>
        <v>0</v>
      </c>
      <c r="O86" s="355">
        <v>0</v>
      </c>
      <c r="P86" s="387">
        <f t="shared" si="17"/>
        <v>20000</v>
      </c>
    </row>
    <row r="87" spans="1:16" ht="15">
      <c r="A87" s="84"/>
      <c r="B87" s="120">
        <v>6</v>
      </c>
      <c r="C87" s="15" t="s">
        <v>3</v>
      </c>
      <c r="D87" s="16">
        <v>0</v>
      </c>
      <c r="E87" s="17"/>
      <c r="F87" s="16"/>
      <c r="G87" s="18">
        <v>100000</v>
      </c>
      <c r="H87" s="19">
        <v>100000</v>
      </c>
      <c r="I87" s="196">
        <v>100000</v>
      </c>
      <c r="K87" s="303">
        <v>0</v>
      </c>
      <c r="L87" s="353">
        <v>100000</v>
      </c>
      <c r="M87" s="353">
        <v>0</v>
      </c>
      <c r="N87" s="387">
        <f t="shared" si="16"/>
        <v>0</v>
      </c>
      <c r="O87" s="355">
        <v>100000</v>
      </c>
      <c r="P87" s="387">
        <f t="shared" si="17"/>
        <v>0</v>
      </c>
    </row>
    <row r="88" spans="1:16" ht="15.75" thickBot="1">
      <c r="A88" s="84"/>
      <c r="B88" s="121">
        <v>7</v>
      </c>
      <c r="C88" s="13" t="s">
        <v>210</v>
      </c>
      <c r="D88" s="20">
        <v>0</v>
      </c>
      <c r="E88" s="21"/>
      <c r="F88" s="20"/>
      <c r="G88" s="14">
        <v>60000</v>
      </c>
      <c r="H88" s="22">
        <v>60000</v>
      </c>
      <c r="I88" s="196">
        <v>60000</v>
      </c>
      <c r="K88" s="356">
        <v>0</v>
      </c>
      <c r="L88" s="353">
        <v>14991.71</v>
      </c>
      <c r="M88" s="353">
        <v>0</v>
      </c>
      <c r="N88" s="387">
        <f t="shared" si="16"/>
        <v>0</v>
      </c>
      <c r="O88" s="357">
        <v>14991.71</v>
      </c>
      <c r="P88" s="387">
        <f t="shared" si="17"/>
        <v>45008.29</v>
      </c>
    </row>
    <row r="89" spans="1:16" ht="15.75" thickBot="1">
      <c r="A89" s="84"/>
      <c r="B89" s="270" t="s">
        <v>133</v>
      </c>
      <c r="C89" s="259" t="s">
        <v>134</v>
      </c>
      <c r="D89" s="271">
        <f>+D90+D91</f>
        <v>3509926</v>
      </c>
      <c r="E89" s="266"/>
      <c r="F89" s="265"/>
      <c r="G89" s="272">
        <f>+G90+G91+G92+G93+G94+G95+G96+G97+G98+G99+G100+G101+G102</f>
        <v>7856281</v>
      </c>
      <c r="H89" s="271">
        <f>+D89+G89</f>
        <v>11366207</v>
      </c>
      <c r="I89" s="273">
        <f>+I90+I91+I92+I93+I94+I95+I96+I97+I98+I100+I101+I102+I99</f>
        <v>11366207</v>
      </c>
      <c r="J89" s="274"/>
      <c r="K89" s="346">
        <v>72786.13</v>
      </c>
      <c r="L89" s="347">
        <v>2221577.4899999998</v>
      </c>
      <c r="M89" s="347">
        <v>2292169.7100000004</v>
      </c>
      <c r="N89" s="347">
        <f>+O89-K89-L89-M89</f>
        <v>1268562.879999999</v>
      </c>
      <c r="O89" s="347">
        <f>+O90+O91+O92+O93+O94+O95+O96+O97+O98+O99+O100+O101+O102</f>
        <v>5855096.209999999</v>
      </c>
      <c r="P89" s="347">
        <f>+H89-O89</f>
        <v>5511110.790000001</v>
      </c>
    </row>
    <row r="90" spans="1:16" ht="15">
      <c r="A90" s="122"/>
      <c r="B90" s="119">
        <v>1</v>
      </c>
      <c r="C90" s="23" t="s">
        <v>211</v>
      </c>
      <c r="D90" s="24">
        <v>1509926</v>
      </c>
      <c r="E90" s="6"/>
      <c r="F90" s="24"/>
      <c r="G90" s="197">
        <v>490074</v>
      </c>
      <c r="H90" s="198">
        <f>+D90+G90</f>
        <v>2000000</v>
      </c>
      <c r="I90" s="191">
        <v>2000000</v>
      </c>
      <c r="K90" s="302">
        <v>0</v>
      </c>
      <c r="L90" s="353">
        <v>940000</v>
      </c>
      <c r="M90" s="353">
        <v>909402</v>
      </c>
      <c r="N90" s="354">
        <f>+O90-K90-L90-M90</f>
        <v>116498.90999999992</v>
      </c>
      <c r="O90" s="354">
        <f>1509926+455974.91</f>
        <v>1965900.91</v>
      </c>
      <c r="P90" s="354">
        <f>+H90-O90</f>
        <v>34099.090000000084</v>
      </c>
    </row>
    <row r="91" spans="1:16" ht="15">
      <c r="A91" s="122"/>
      <c r="B91" s="120">
        <f>B90+1</f>
        <v>2</v>
      </c>
      <c r="C91" s="25" t="s">
        <v>212</v>
      </c>
      <c r="D91" s="5">
        <v>2000000</v>
      </c>
      <c r="E91" s="6"/>
      <c r="F91" s="5"/>
      <c r="G91" s="197">
        <v>200000</v>
      </c>
      <c r="H91" s="199">
        <f>+D91+G91</f>
        <v>2200000</v>
      </c>
      <c r="I91" s="192">
        <v>2200000</v>
      </c>
      <c r="K91" s="303">
        <v>72786</v>
      </c>
      <c r="L91" s="355">
        <v>1127665</v>
      </c>
      <c r="M91" s="353">
        <v>872573</v>
      </c>
      <c r="N91" s="387">
        <f aca="true" t="shared" si="18" ref="N91:N102">+O91-K91-L91-M91</f>
        <v>122815.23999999976</v>
      </c>
      <c r="O91" s="355">
        <f>1996653.43+199185.81</f>
        <v>2195839.2399999998</v>
      </c>
      <c r="P91" s="387">
        <f aca="true" t="shared" si="19" ref="P91:P102">+H91-O91</f>
        <v>4160.760000000242</v>
      </c>
    </row>
    <row r="92" spans="1:16" ht="15">
      <c r="A92" s="122"/>
      <c r="B92" s="120">
        <f aca="true" t="shared" si="20" ref="B92:B101">B91+1</f>
        <v>3</v>
      </c>
      <c r="C92" s="25" t="s">
        <v>213</v>
      </c>
      <c r="D92" s="5">
        <v>0</v>
      </c>
      <c r="E92" s="6"/>
      <c r="F92" s="5"/>
      <c r="G92" s="197">
        <v>500000</v>
      </c>
      <c r="H92" s="199">
        <f aca="true" t="shared" si="21" ref="H92:H127">SUM(G92)</f>
        <v>500000</v>
      </c>
      <c r="I92" s="192">
        <v>500000</v>
      </c>
      <c r="K92" s="303">
        <v>0</v>
      </c>
      <c r="L92" s="355">
        <v>89901.4</v>
      </c>
      <c r="M92" s="353">
        <v>54362.78</v>
      </c>
      <c r="N92" s="387">
        <f t="shared" si="18"/>
        <v>353539.87</v>
      </c>
      <c r="O92" s="355">
        <v>497804.05</v>
      </c>
      <c r="P92" s="387">
        <f t="shared" si="19"/>
        <v>2195.9500000000116</v>
      </c>
    </row>
    <row r="93" spans="1:16" ht="15">
      <c r="A93" s="122"/>
      <c r="B93" s="120">
        <f t="shared" si="20"/>
        <v>4</v>
      </c>
      <c r="C93" s="25" t="s">
        <v>214</v>
      </c>
      <c r="D93" s="5">
        <v>0</v>
      </c>
      <c r="E93" s="6"/>
      <c r="F93" s="5"/>
      <c r="G93" s="197">
        <v>888707</v>
      </c>
      <c r="H93" s="199">
        <f t="shared" si="21"/>
        <v>888707</v>
      </c>
      <c r="I93" s="192">
        <v>888707</v>
      </c>
      <c r="K93" s="303">
        <v>0</v>
      </c>
      <c r="L93" s="355">
        <v>0</v>
      </c>
      <c r="M93" s="353">
        <v>0</v>
      </c>
      <c r="N93" s="387">
        <f t="shared" si="18"/>
        <v>0</v>
      </c>
      <c r="O93" s="355"/>
      <c r="P93" s="387">
        <f t="shared" si="19"/>
        <v>888707</v>
      </c>
    </row>
    <row r="94" spans="1:16" ht="15">
      <c r="A94" s="122"/>
      <c r="B94" s="120">
        <f t="shared" si="20"/>
        <v>5</v>
      </c>
      <c r="C94" s="25" t="s">
        <v>4</v>
      </c>
      <c r="D94" s="5">
        <v>0</v>
      </c>
      <c r="E94" s="6"/>
      <c r="F94" s="5"/>
      <c r="G94" s="197">
        <v>900000</v>
      </c>
      <c r="H94" s="199">
        <f t="shared" si="21"/>
        <v>900000</v>
      </c>
      <c r="I94" s="192">
        <v>900000</v>
      </c>
      <c r="K94" s="303">
        <v>0</v>
      </c>
      <c r="L94" s="355">
        <v>0</v>
      </c>
      <c r="M94" s="353">
        <v>0</v>
      </c>
      <c r="N94" s="387">
        <f t="shared" si="18"/>
        <v>56604.7</v>
      </c>
      <c r="O94" s="355">
        <v>56604.7</v>
      </c>
      <c r="P94" s="387">
        <f t="shared" si="19"/>
        <v>843395.3</v>
      </c>
    </row>
    <row r="95" spans="1:16" ht="15">
      <c r="A95" s="122"/>
      <c r="B95" s="120">
        <f t="shared" si="20"/>
        <v>6</v>
      </c>
      <c r="C95" s="25" t="s">
        <v>215</v>
      </c>
      <c r="D95" s="5">
        <v>0</v>
      </c>
      <c r="E95" s="6"/>
      <c r="F95" s="5"/>
      <c r="G95" s="197">
        <v>90000</v>
      </c>
      <c r="H95" s="199">
        <f t="shared" si="21"/>
        <v>90000</v>
      </c>
      <c r="I95" s="192">
        <v>90000</v>
      </c>
      <c r="K95" s="303">
        <v>0</v>
      </c>
      <c r="L95" s="355">
        <v>0</v>
      </c>
      <c r="M95" s="353">
        <v>0</v>
      </c>
      <c r="N95" s="387">
        <f t="shared" si="18"/>
        <v>11742.33</v>
      </c>
      <c r="O95" s="355">
        <v>11742.33</v>
      </c>
      <c r="P95" s="387">
        <f t="shared" si="19"/>
        <v>78257.67</v>
      </c>
    </row>
    <row r="96" spans="1:16" ht="15">
      <c r="A96" s="122"/>
      <c r="B96" s="120">
        <f t="shared" si="20"/>
        <v>7</v>
      </c>
      <c r="C96" s="25" t="s">
        <v>216</v>
      </c>
      <c r="D96" s="5">
        <v>0</v>
      </c>
      <c r="E96" s="6"/>
      <c r="F96" s="5"/>
      <c r="G96" s="197">
        <v>800000</v>
      </c>
      <c r="H96" s="199">
        <v>800000</v>
      </c>
      <c r="I96" s="192">
        <v>800000</v>
      </c>
      <c r="K96" s="303">
        <v>0</v>
      </c>
      <c r="L96" s="355">
        <v>0</v>
      </c>
      <c r="M96" s="353">
        <v>0</v>
      </c>
      <c r="N96" s="387">
        <f t="shared" si="18"/>
        <v>168375.43</v>
      </c>
      <c r="O96" s="355">
        <v>168375.43</v>
      </c>
      <c r="P96" s="387">
        <f t="shared" si="19"/>
        <v>631624.5700000001</v>
      </c>
    </row>
    <row r="97" spans="1:16" ht="15">
      <c r="A97" s="122"/>
      <c r="B97" s="120">
        <f t="shared" si="20"/>
        <v>8</v>
      </c>
      <c r="C97" s="25" t="s">
        <v>217</v>
      </c>
      <c r="D97" s="5">
        <v>0</v>
      </c>
      <c r="E97" s="6"/>
      <c r="F97" s="5"/>
      <c r="G97" s="197">
        <v>200000</v>
      </c>
      <c r="H97" s="199">
        <f t="shared" si="21"/>
        <v>200000</v>
      </c>
      <c r="I97" s="192">
        <v>200000</v>
      </c>
      <c r="K97" s="303">
        <v>0</v>
      </c>
      <c r="L97" s="355">
        <v>64011</v>
      </c>
      <c r="M97" s="353">
        <v>76771.62</v>
      </c>
      <c r="N97" s="387">
        <f t="shared" si="18"/>
        <v>59217.380000000005</v>
      </c>
      <c r="O97" s="355">
        <v>200000</v>
      </c>
      <c r="P97" s="387">
        <f t="shared" si="19"/>
        <v>0</v>
      </c>
    </row>
    <row r="98" spans="1:16" ht="15">
      <c r="A98" s="122"/>
      <c r="B98" s="120">
        <f t="shared" si="20"/>
        <v>9</v>
      </c>
      <c r="C98" s="25" t="s">
        <v>218</v>
      </c>
      <c r="D98" s="5">
        <v>0</v>
      </c>
      <c r="E98" s="6"/>
      <c r="F98" s="5"/>
      <c r="G98" s="197">
        <v>500000</v>
      </c>
      <c r="H98" s="199">
        <f t="shared" si="21"/>
        <v>500000</v>
      </c>
      <c r="I98" s="192">
        <v>500000</v>
      </c>
      <c r="K98" s="303">
        <v>0</v>
      </c>
      <c r="L98" s="355">
        <v>0</v>
      </c>
      <c r="M98" s="353">
        <v>100000</v>
      </c>
      <c r="N98" s="387">
        <f t="shared" si="18"/>
        <v>255100</v>
      </c>
      <c r="O98" s="355">
        <v>355100</v>
      </c>
      <c r="P98" s="387">
        <f t="shared" si="19"/>
        <v>144900</v>
      </c>
    </row>
    <row r="99" spans="1:16" ht="15">
      <c r="A99" s="122"/>
      <c r="B99" s="120">
        <f t="shared" si="20"/>
        <v>10</v>
      </c>
      <c r="C99" s="26" t="s">
        <v>219</v>
      </c>
      <c r="D99" s="5">
        <v>0</v>
      </c>
      <c r="E99" s="6"/>
      <c r="F99" s="5"/>
      <c r="G99" s="27">
        <v>287500</v>
      </c>
      <c r="H99" s="28">
        <f t="shared" si="21"/>
        <v>287500</v>
      </c>
      <c r="I99" s="192">
        <v>287500</v>
      </c>
      <c r="K99" s="303">
        <v>0</v>
      </c>
      <c r="L99" s="355">
        <v>0</v>
      </c>
      <c r="M99" s="353">
        <v>0</v>
      </c>
      <c r="N99" s="387">
        <f t="shared" si="18"/>
        <v>0</v>
      </c>
      <c r="O99" s="355"/>
      <c r="P99" s="387">
        <f t="shared" si="19"/>
        <v>287500</v>
      </c>
    </row>
    <row r="100" spans="1:16" ht="15">
      <c r="A100" s="122"/>
      <c r="B100" s="120">
        <f t="shared" si="20"/>
        <v>11</v>
      </c>
      <c r="C100" s="25" t="s">
        <v>220</v>
      </c>
      <c r="D100" s="20">
        <v>0</v>
      </c>
      <c r="E100" s="21"/>
      <c r="F100" s="20"/>
      <c r="G100" s="21">
        <v>1000000</v>
      </c>
      <c r="H100" s="20">
        <f t="shared" si="21"/>
        <v>1000000</v>
      </c>
      <c r="I100" s="196">
        <v>1000000</v>
      </c>
      <c r="K100" s="303">
        <v>0</v>
      </c>
      <c r="L100" s="355">
        <v>0</v>
      </c>
      <c r="M100" s="353">
        <v>0</v>
      </c>
      <c r="N100" s="387">
        <f t="shared" si="18"/>
        <v>35173.93</v>
      </c>
      <c r="O100" s="355">
        <v>35173.93</v>
      </c>
      <c r="P100" s="387">
        <f t="shared" si="19"/>
        <v>964826.07</v>
      </c>
    </row>
    <row r="101" spans="1:16" ht="15">
      <c r="A101" s="122"/>
      <c r="B101" s="123">
        <f t="shared" si="20"/>
        <v>12</v>
      </c>
      <c r="C101" s="124" t="s">
        <v>5</v>
      </c>
      <c r="D101" s="20">
        <v>0</v>
      </c>
      <c r="E101" s="21"/>
      <c r="F101" s="20"/>
      <c r="G101" s="21">
        <v>500000</v>
      </c>
      <c r="H101" s="20">
        <f t="shared" si="21"/>
        <v>500000</v>
      </c>
      <c r="I101" s="196">
        <v>500000</v>
      </c>
      <c r="K101" s="303">
        <v>0</v>
      </c>
      <c r="L101" s="355">
        <v>0</v>
      </c>
      <c r="M101" s="353">
        <v>100000</v>
      </c>
      <c r="N101" s="387">
        <f t="shared" si="18"/>
        <v>0</v>
      </c>
      <c r="O101" s="355">
        <v>100000</v>
      </c>
      <c r="P101" s="387">
        <f t="shared" si="19"/>
        <v>400000</v>
      </c>
    </row>
    <row r="102" spans="1:16" ht="15.75" thickBot="1">
      <c r="A102" s="122"/>
      <c r="B102" s="125">
        <v>13</v>
      </c>
      <c r="C102" s="126" t="s">
        <v>6</v>
      </c>
      <c r="D102" s="29">
        <v>0</v>
      </c>
      <c r="E102" s="30"/>
      <c r="F102" s="29"/>
      <c r="G102" s="30">
        <v>1500000</v>
      </c>
      <c r="H102" s="29">
        <v>1500000</v>
      </c>
      <c r="I102" s="200">
        <v>1500000</v>
      </c>
      <c r="K102" s="303">
        <v>0</v>
      </c>
      <c r="L102" s="355">
        <v>0</v>
      </c>
      <c r="M102" s="353">
        <v>179059.87</v>
      </c>
      <c r="N102" s="387">
        <f t="shared" si="18"/>
        <v>89495.75</v>
      </c>
      <c r="O102" s="357">
        <v>268555.62</v>
      </c>
      <c r="P102" s="387">
        <f t="shared" si="19"/>
        <v>1231444.38</v>
      </c>
    </row>
    <row r="103" spans="1:16" ht="15.75" thickBot="1">
      <c r="A103" s="122"/>
      <c r="B103" s="258" t="s">
        <v>135</v>
      </c>
      <c r="C103" s="275" t="s">
        <v>44</v>
      </c>
      <c r="D103" s="265">
        <v>0</v>
      </c>
      <c r="E103" s="266"/>
      <c r="F103" s="265"/>
      <c r="G103" s="272">
        <v>5755000</v>
      </c>
      <c r="H103" s="271">
        <f t="shared" si="21"/>
        <v>5755000</v>
      </c>
      <c r="I103" s="269">
        <f>SUM(I104:I127)</f>
        <v>5755000</v>
      </c>
      <c r="J103" s="263"/>
      <c r="K103" s="346">
        <v>247629.55</v>
      </c>
      <c r="L103" s="347">
        <v>1503775.0799999998</v>
      </c>
      <c r="M103" s="347">
        <v>722830.7300000002</v>
      </c>
      <c r="N103" s="347">
        <f>+O103-K103-L103-M103</f>
        <v>999797.4000000004</v>
      </c>
      <c r="O103" s="347">
        <f>+O104+O105+O106+O107+O108+O109+O110+O111+O112+O113+O114+O115+O116+O117+O118+O119+O120+O121+O122+O123+O124+O125+O126+O127</f>
        <v>3474032.7600000002</v>
      </c>
      <c r="P103" s="347">
        <f>+H103-O103</f>
        <v>2280967.2399999998</v>
      </c>
    </row>
    <row r="104" spans="1:16" ht="15">
      <c r="A104" s="122"/>
      <c r="B104" s="127">
        <v>1</v>
      </c>
      <c r="C104" s="9" t="s">
        <v>7</v>
      </c>
      <c r="D104" s="5">
        <v>0</v>
      </c>
      <c r="E104" s="6"/>
      <c r="F104" s="5"/>
      <c r="G104" s="6">
        <v>300000</v>
      </c>
      <c r="H104" s="5">
        <f t="shared" si="21"/>
        <v>300000</v>
      </c>
      <c r="I104" s="201">
        <v>300000</v>
      </c>
      <c r="K104" s="302">
        <v>32639.9</v>
      </c>
      <c r="L104" s="353">
        <v>109256.30000000002</v>
      </c>
      <c r="M104" s="353">
        <v>18743.29999999999</v>
      </c>
      <c r="N104" s="354">
        <f>+O104-K104-L104-M104</f>
        <v>138512.63999999998</v>
      </c>
      <c r="O104" s="354">
        <v>299152.14</v>
      </c>
      <c r="P104" s="354">
        <f>+H104-O104</f>
        <v>847.859999999986</v>
      </c>
    </row>
    <row r="105" spans="1:16" ht="15">
      <c r="A105" s="122"/>
      <c r="B105" s="120">
        <v>2</v>
      </c>
      <c r="C105" s="31" t="s">
        <v>221</v>
      </c>
      <c r="D105" s="5">
        <v>0</v>
      </c>
      <c r="E105" s="6"/>
      <c r="F105" s="5"/>
      <c r="G105" s="21">
        <v>800000</v>
      </c>
      <c r="H105" s="20">
        <f t="shared" si="21"/>
        <v>800000</v>
      </c>
      <c r="I105" s="192">
        <v>800000</v>
      </c>
      <c r="K105" s="303">
        <v>0</v>
      </c>
      <c r="L105" s="353">
        <v>634475.34</v>
      </c>
      <c r="M105" s="353">
        <v>165524.66000000003</v>
      </c>
      <c r="N105" s="387">
        <f aca="true" t="shared" si="22" ref="N105:N127">+O105-K105-L105-M105</f>
        <v>0</v>
      </c>
      <c r="O105" s="355">
        <v>800000</v>
      </c>
      <c r="P105" s="387">
        <f aca="true" t="shared" si="23" ref="P105:P127">+H105-O105</f>
        <v>0</v>
      </c>
    </row>
    <row r="106" spans="1:16" ht="15">
      <c r="A106" s="122"/>
      <c r="B106" s="120">
        <v>3</v>
      </c>
      <c r="C106" s="13" t="s">
        <v>8</v>
      </c>
      <c r="D106" s="5">
        <v>0</v>
      </c>
      <c r="E106" s="6"/>
      <c r="F106" s="5"/>
      <c r="G106" s="21">
        <v>250000</v>
      </c>
      <c r="H106" s="20">
        <f t="shared" si="21"/>
        <v>250000</v>
      </c>
      <c r="I106" s="192">
        <v>250000</v>
      </c>
      <c r="K106" s="303">
        <v>0</v>
      </c>
      <c r="L106" s="353">
        <v>25458.5</v>
      </c>
      <c r="M106" s="353">
        <v>39406.8</v>
      </c>
      <c r="N106" s="387">
        <f t="shared" si="22"/>
        <v>0</v>
      </c>
      <c r="O106" s="355">
        <v>64865.3</v>
      </c>
      <c r="P106" s="387">
        <f t="shared" si="23"/>
        <v>185134.7</v>
      </c>
    </row>
    <row r="107" spans="1:16" ht="15">
      <c r="A107" s="122"/>
      <c r="B107" s="120">
        <v>4</v>
      </c>
      <c r="C107" s="31" t="s">
        <v>222</v>
      </c>
      <c r="D107" s="5">
        <v>0</v>
      </c>
      <c r="E107" s="6"/>
      <c r="F107" s="5"/>
      <c r="G107" s="21">
        <v>150000</v>
      </c>
      <c r="H107" s="20">
        <f t="shared" si="21"/>
        <v>150000</v>
      </c>
      <c r="I107" s="192">
        <v>150000</v>
      </c>
      <c r="K107" s="303">
        <v>0</v>
      </c>
      <c r="L107" s="353">
        <v>99350</v>
      </c>
      <c r="M107" s="353">
        <v>0</v>
      </c>
      <c r="N107" s="387">
        <f t="shared" si="22"/>
        <v>0</v>
      </c>
      <c r="O107" s="355">
        <v>99350</v>
      </c>
      <c r="P107" s="387">
        <f t="shared" si="23"/>
        <v>50650</v>
      </c>
    </row>
    <row r="108" spans="1:16" ht="26.25">
      <c r="A108" s="122"/>
      <c r="B108" s="120">
        <v>5</v>
      </c>
      <c r="C108" s="32" t="s">
        <v>223</v>
      </c>
      <c r="D108" s="5">
        <v>0</v>
      </c>
      <c r="E108" s="6"/>
      <c r="F108" s="5"/>
      <c r="G108" s="21">
        <v>150000</v>
      </c>
      <c r="H108" s="20">
        <f t="shared" si="21"/>
        <v>150000</v>
      </c>
      <c r="I108" s="192">
        <v>150000</v>
      </c>
      <c r="K108" s="303">
        <v>0</v>
      </c>
      <c r="L108" s="353">
        <v>0</v>
      </c>
      <c r="M108" s="353">
        <v>55053.65</v>
      </c>
      <c r="N108" s="387">
        <f t="shared" si="22"/>
        <v>46147.049999999996</v>
      </c>
      <c r="O108" s="355">
        <v>101200.7</v>
      </c>
      <c r="P108" s="387">
        <f t="shared" si="23"/>
        <v>48799.3</v>
      </c>
    </row>
    <row r="109" spans="1:16" ht="15">
      <c r="A109" s="122"/>
      <c r="B109" s="120">
        <v>6</v>
      </c>
      <c r="C109" s="31" t="s">
        <v>224</v>
      </c>
      <c r="D109" s="5">
        <v>0</v>
      </c>
      <c r="E109" s="6"/>
      <c r="F109" s="5"/>
      <c r="G109" s="21">
        <v>150000</v>
      </c>
      <c r="H109" s="20">
        <f t="shared" si="21"/>
        <v>150000</v>
      </c>
      <c r="I109" s="192">
        <v>150000</v>
      </c>
      <c r="K109" s="303">
        <v>0</v>
      </c>
      <c r="L109" s="353">
        <v>0</v>
      </c>
      <c r="M109" s="353">
        <v>0</v>
      </c>
      <c r="N109" s="387">
        <f t="shared" si="22"/>
        <v>147191.71</v>
      </c>
      <c r="O109" s="355">
        <v>147191.71</v>
      </c>
      <c r="P109" s="387">
        <f t="shared" si="23"/>
        <v>2808.290000000008</v>
      </c>
    </row>
    <row r="110" spans="1:16" ht="26.25">
      <c r="A110" s="122"/>
      <c r="B110" s="120">
        <v>7</v>
      </c>
      <c r="C110" s="33" t="s">
        <v>9</v>
      </c>
      <c r="D110" s="5">
        <v>0</v>
      </c>
      <c r="E110" s="6"/>
      <c r="F110" s="5"/>
      <c r="G110" s="21">
        <v>1150000</v>
      </c>
      <c r="H110" s="20">
        <f t="shared" si="21"/>
        <v>1150000</v>
      </c>
      <c r="I110" s="192">
        <v>1150000</v>
      </c>
      <c r="K110" s="303">
        <v>153398.1</v>
      </c>
      <c r="L110" s="353">
        <v>409647.87</v>
      </c>
      <c r="M110" s="353">
        <v>282302.39</v>
      </c>
      <c r="N110" s="387">
        <f t="shared" si="22"/>
        <v>304651.64</v>
      </c>
      <c r="O110" s="355">
        <v>1150000</v>
      </c>
      <c r="P110" s="387">
        <f t="shared" si="23"/>
        <v>0</v>
      </c>
    </row>
    <row r="111" spans="1:16" ht="15">
      <c r="A111" s="122"/>
      <c r="B111" s="120">
        <v>8</v>
      </c>
      <c r="C111" s="33" t="s">
        <v>225</v>
      </c>
      <c r="D111" s="5">
        <v>0</v>
      </c>
      <c r="E111" s="6"/>
      <c r="F111" s="5"/>
      <c r="G111" s="21">
        <v>100000</v>
      </c>
      <c r="H111" s="20">
        <f t="shared" si="21"/>
        <v>100000</v>
      </c>
      <c r="I111" s="192">
        <v>100000</v>
      </c>
      <c r="K111" s="303">
        <v>18875.9</v>
      </c>
      <c r="L111" s="353">
        <v>28575.199999999997</v>
      </c>
      <c r="M111" s="353">
        <v>13046.300000000003</v>
      </c>
      <c r="N111" s="387">
        <f t="shared" si="22"/>
        <v>0</v>
      </c>
      <c r="O111" s="355">
        <v>60497.4</v>
      </c>
      <c r="P111" s="387">
        <f t="shared" si="23"/>
        <v>39502.6</v>
      </c>
    </row>
    <row r="112" spans="1:16" ht="26.25">
      <c r="A112" s="122"/>
      <c r="B112" s="120">
        <v>9</v>
      </c>
      <c r="C112" s="33" t="s">
        <v>10</v>
      </c>
      <c r="D112" s="5">
        <v>0</v>
      </c>
      <c r="E112" s="6"/>
      <c r="F112" s="5"/>
      <c r="G112" s="21">
        <v>100000</v>
      </c>
      <c r="H112" s="20">
        <f t="shared" si="21"/>
        <v>100000</v>
      </c>
      <c r="I112" s="192">
        <v>100000</v>
      </c>
      <c r="K112" s="303">
        <v>22650.65</v>
      </c>
      <c r="L112" s="353">
        <v>16747.85</v>
      </c>
      <c r="M112" s="353">
        <v>60601.50000000001</v>
      </c>
      <c r="N112" s="387">
        <f t="shared" si="22"/>
        <v>0</v>
      </c>
      <c r="O112" s="355">
        <v>100000</v>
      </c>
      <c r="P112" s="387">
        <f t="shared" si="23"/>
        <v>0</v>
      </c>
    </row>
    <row r="113" spans="1:16" ht="26.25">
      <c r="A113" s="122"/>
      <c r="B113" s="120">
        <v>10</v>
      </c>
      <c r="C113" s="33" t="s">
        <v>226</v>
      </c>
      <c r="D113" s="5">
        <v>0</v>
      </c>
      <c r="E113" s="6"/>
      <c r="F113" s="5"/>
      <c r="G113" s="21">
        <v>150000</v>
      </c>
      <c r="H113" s="20">
        <f t="shared" si="21"/>
        <v>150000</v>
      </c>
      <c r="I113" s="192">
        <v>150000</v>
      </c>
      <c r="K113" s="303">
        <v>0</v>
      </c>
      <c r="L113" s="353">
        <v>0</v>
      </c>
      <c r="M113" s="353">
        <v>0</v>
      </c>
      <c r="N113" s="387">
        <f t="shared" si="22"/>
        <v>76168.71</v>
      </c>
      <c r="O113" s="355">
        <v>76168.71</v>
      </c>
      <c r="P113" s="387">
        <f t="shared" si="23"/>
        <v>73831.29</v>
      </c>
    </row>
    <row r="114" spans="1:16" ht="15">
      <c r="A114" s="122"/>
      <c r="B114" s="120">
        <v>11</v>
      </c>
      <c r="C114" s="33" t="s">
        <v>11</v>
      </c>
      <c r="D114" s="5">
        <v>0</v>
      </c>
      <c r="E114" s="6"/>
      <c r="F114" s="5"/>
      <c r="G114" s="21">
        <v>100000</v>
      </c>
      <c r="H114" s="20">
        <f t="shared" si="21"/>
        <v>100000</v>
      </c>
      <c r="I114" s="192">
        <v>100000</v>
      </c>
      <c r="K114" s="303">
        <v>0</v>
      </c>
      <c r="L114" s="353">
        <v>59509.21</v>
      </c>
      <c r="M114" s="353">
        <v>0</v>
      </c>
      <c r="N114" s="387">
        <f t="shared" si="22"/>
        <v>34901.909999999996</v>
      </c>
      <c r="O114" s="355">
        <v>94411.12</v>
      </c>
      <c r="P114" s="387">
        <f t="shared" si="23"/>
        <v>5588.880000000005</v>
      </c>
    </row>
    <row r="115" spans="1:16" ht="26.25">
      <c r="A115" s="122"/>
      <c r="B115" s="120">
        <v>12</v>
      </c>
      <c r="C115" s="33" t="s">
        <v>227</v>
      </c>
      <c r="D115" s="5">
        <v>0</v>
      </c>
      <c r="E115" s="6"/>
      <c r="F115" s="5"/>
      <c r="G115" s="21">
        <v>50000</v>
      </c>
      <c r="H115" s="20">
        <f t="shared" si="21"/>
        <v>50000</v>
      </c>
      <c r="I115" s="192">
        <v>50000</v>
      </c>
      <c r="K115" s="303">
        <v>0</v>
      </c>
      <c r="L115" s="353">
        <v>0</v>
      </c>
      <c r="M115" s="353">
        <v>0</v>
      </c>
      <c r="N115" s="387">
        <f t="shared" si="22"/>
        <v>0</v>
      </c>
      <c r="O115" s="355">
        <v>0</v>
      </c>
      <c r="P115" s="387">
        <f t="shared" si="23"/>
        <v>50000</v>
      </c>
    </row>
    <row r="116" spans="1:16" ht="15">
      <c r="A116" s="122"/>
      <c r="B116" s="120">
        <v>13</v>
      </c>
      <c r="C116" s="33" t="s">
        <v>228</v>
      </c>
      <c r="D116" s="5">
        <v>0</v>
      </c>
      <c r="E116" s="6"/>
      <c r="F116" s="5"/>
      <c r="G116" s="21">
        <v>80000</v>
      </c>
      <c r="H116" s="20">
        <f t="shared" si="21"/>
        <v>80000</v>
      </c>
      <c r="I116" s="192">
        <v>80000</v>
      </c>
      <c r="K116" s="303">
        <v>0</v>
      </c>
      <c r="L116" s="353">
        <v>40634.92</v>
      </c>
      <c r="M116" s="353">
        <v>1252.4500000000044</v>
      </c>
      <c r="N116" s="387">
        <f t="shared" si="22"/>
        <v>36999.38</v>
      </c>
      <c r="O116" s="355">
        <v>78886.75</v>
      </c>
      <c r="P116" s="387">
        <f t="shared" si="23"/>
        <v>1113.25</v>
      </c>
    </row>
    <row r="117" spans="1:16" ht="26.25">
      <c r="A117" s="122"/>
      <c r="B117" s="120">
        <v>14</v>
      </c>
      <c r="C117" s="33" t="s">
        <v>229</v>
      </c>
      <c r="D117" s="5">
        <v>0</v>
      </c>
      <c r="E117" s="6"/>
      <c r="F117" s="5"/>
      <c r="G117" s="21">
        <v>50000</v>
      </c>
      <c r="H117" s="20">
        <f t="shared" si="21"/>
        <v>50000</v>
      </c>
      <c r="I117" s="192">
        <v>50000</v>
      </c>
      <c r="K117" s="303">
        <v>0</v>
      </c>
      <c r="L117" s="353">
        <v>0</v>
      </c>
      <c r="M117" s="353">
        <v>0</v>
      </c>
      <c r="N117" s="387">
        <f t="shared" si="22"/>
        <v>0</v>
      </c>
      <c r="O117" s="355">
        <v>0</v>
      </c>
      <c r="P117" s="387">
        <f t="shared" si="23"/>
        <v>50000</v>
      </c>
    </row>
    <row r="118" spans="1:16" ht="15">
      <c r="A118" s="122"/>
      <c r="B118" s="120">
        <v>15</v>
      </c>
      <c r="C118" s="33" t="s">
        <v>12</v>
      </c>
      <c r="D118" s="5">
        <v>0</v>
      </c>
      <c r="E118" s="6"/>
      <c r="F118" s="5"/>
      <c r="G118" s="21">
        <v>150000</v>
      </c>
      <c r="H118" s="20">
        <f t="shared" si="21"/>
        <v>150000</v>
      </c>
      <c r="I118" s="192">
        <v>150000</v>
      </c>
      <c r="K118" s="303"/>
      <c r="L118" s="353">
        <v>0</v>
      </c>
      <c r="M118" s="353">
        <v>0</v>
      </c>
      <c r="N118" s="387">
        <f t="shared" si="22"/>
        <v>109891.5</v>
      </c>
      <c r="O118" s="355">
        <v>109891.5</v>
      </c>
      <c r="P118" s="387">
        <f t="shared" si="23"/>
        <v>40108.5</v>
      </c>
    </row>
    <row r="119" spans="1:16" ht="15">
      <c r="A119" s="122"/>
      <c r="B119" s="120">
        <v>16</v>
      </c>
      <c r="C119" s="33" t="s">
        <v>230</v>
      </c>
      <c r="D119" s="5">
        <v>0</v>
      </c>
      <c r="E119" s="6"/>
      <c r="F119" s="5"/>
      <c r="G119" s="21">
        <v>50000</v>
      </c>
      <c r="H119" s="20">
        <f t="shared" si="21"/>
        <v>50000</v>
      </c>
      <c r="I119" s="192">
        <v>50000</v>
      </c>
      <c r="K119" s="303">
        <v>7000</v>
      </c>
      <c r="L119" s="353">
        <v>1917.8999999999996</v>
      </c>
      <c r="M119" s="353">
        <v>0</v>
      </c>
      <c r="N119" s="387">
        <f t="shared" si="22"/>
        <v>41082.1</v>
      </c>
      <c r="O119" s="355">
        <v>50000</v>
      </c>
      <c r="P119" s="387">
        <f t="shared" si="23"/>
        <v>0</v>
      </c>
    </row>
    <row r="120" spans="1:16" ht="15">
      <c r="A120" s="122"/>
      <c r="B120" s="120">
        <v>17</v>
      </c>
      <c r="C120" s="33" t="s">
        <v>13</v>
      </c>
      <c r="D120" s="5">
        <v>0</v>
      </c>
      <c r="E120" s="6"/>
      <c r="F120" s="5"/>
      <c r="G120" s="21">
        <v>75000</v>
      </c>
      <c r="H120" s="20">
        <f t="shared" si="21"/>
        <v>75000</v>
      </c>
      <c r="I120" s="192">
        <v>75000</v>
      </c>
      <c r="K120" s="303">
        <v>13065</v>
      </c>
      <c r="L120" s="353">
        <v>15495</v>
      </c>
      <c r="M120" s="353">
        <v>29102.58</v>
      </c>
      <c r="N120" s="387">
        <f t="shared" si="22"/>
        <v>0</v>
      </c>
      <c r="O120" s="355">
        <v>57662.58</v>
      </c>
      <c r="P120" s="387">
        <f t="shared" si="23"/>
        <v>17337.42</v>
      </c>
    </row>
    <row r="121" spans="1:16" ht="51.75">
      <c r="A121" s="122"/>
      <c r="B121" s="120">
        <v>18</v>
      </c>
      <c r="C121" s="32" t="s">
        <v>231</v>
      </c>
      <c r="D121" s="5">
        <v>0</v>
      </c>
      <c r="E121" s="6"/>
      <c r="F121" s="5"/>
      <c r="G121" s="21">
        <v>80000</v>
      </c>
      <c r="H121" s="20">
        <f t="shared" si="21"/>
        <v>80000</v>
      </c>
      <c r="I121" s="192">
        <v>80000</v>
      </c>
      <c r="K121" s="303">
        <v>0</v>
      </c>
      <c r="L121" s="353">
        <v>0</v>
      </c>
      <c r="M121" s="353">
        <v>0</v>
      </c>
      <c r="N121" s="387">
        <f t="shared" si="22"/>
        <v>0</v>
      </c>
      <c r="O121" s="355">
        <v>0</v>
      </c>
      <c r="P121" s="387">
        <f t="shared" si="23"/>
        <v>80000</v>
      </c>
    </row>
    <row r="122" spans="1:16" ht="26.25">
      <c r="A122" s="122"/>
      <c r="B122" s="120">
        <v>19</v>
      </c>
      <c r="C122" s="33" t="s">
        <v>14</v>
      </c>
      <c r="D122" s="5">
        <v>0</v>
      </c>
      <c r="E122" s="6"/>
      <c r="F122" s="5"/>
      <c r="G122" s="21">
        <v>150000</v>
      </c>
      <c r="H122" s="20">
        <f t="shared" si="21"/>
        <v>150000</v>
      </c>
      <c r="I122" s="192">
        <v>150000</v>
      </c>
      <c r="K122" s="303">
        <v>0</v>
      </c>
      <c r="L122" s="353">
        <v>62706.99</v>
      </c>
      <c r="M122" s="353">
        <v>50831.1</v>
      </c>
      <c r="N122" s="387">
        <f t="shared" si="22"/>
        <v>36446.790000000015</v>
      </c>
      <c r="O122" s="355">
        <v>149984.88</v>
      </c>
      <c r="P122" s="387">
        <f t="shared" si="23"/>
        <v>15.119999999995343</v>
      </c>
    </row>
    <row r="123" spans="1:16" ht="26.25">
      <c r="A123" s="122"/>
      <c r="B123" s="120">
        <v>20</v>
      </c>
      <c r="C123" s="33" t="s">
        <v>15</v>
      </c>
      <c r="D123" s="5">
        <v>0</v>
      </c>
      <c r="E123" s="6"/>
      <c r="F123" s="5"/>
      <c r="G123" s="21">
        <v>50000</v>
      </c>
      <c r="H123" s="20">
        <f t="shared" si="21"/>
        <v>50000</v>
      </c>
      <c r="I123" s="192">
        <v>50000</v>
      </c>
      <c r="K123" s="303">
        <v>0</v>
      </c>
      <c r="L123" s="353">
        <v>0</v>
      </c>
      <c r="M123" s="353">
        <v>6966</v>
      </c>
      <c r="N123" s="387">
        <f t="shared" si="22"/>
        <v>27803.97</v>
      </c>
      <c r="O123" s="355">
        <v>34769.97</v>
      </c>
      <c r="P123" s="387">
        <f t="shared" si="23"/>
        <v>15230.029999999999</v>
      </c>
    </row>
    <row r="124" spans="1:16" ht="26.25">
      <c r="A124" s="122"/>
      <c r="B124" s="120">
        <v>21</v>
      </c>
      <c r="C124" s="33" t="s">
        <v>16</v>
      </c>
      <c r="D124" s="5">
        <v>0</v>
      </c>
      <c r="E124" s="6"/>
      <c r="F124" s="5"/>
      <c r="G124" s="21">
        <v>70000</v>
      </c>
      <c r="H124" s="20">
        <f t="shared" si="21"/>
        <v>70000</v>
      </c>
      <c r="I124" s="192">
        <v>70000</v>
      </c>
      <c r="K124" s="303">
        <v>0</v>
      </c>
      <c r="L124" s="353">
        <v>0</v>
      </c>
      <c r="M124" s="353">
        <v>0</v>
      </c>
      <c r="N124" s="387">
        <f t="shared" si="22"/>
        <v>0</v>
      </c>
      <c r="O124" s="355">
        <v>0</v>
      </c>
      <c r="P124" s="387">
        <f t="shared" si="23"/>
        <v>70000</v>
      </c>
    </row>
    <row r="125" spans="1:16" ht="15">
      <c r="A125" s="122"/>
      <c r="B125" s="120">
        <v>22</v>
      </c>
      <c r="C125" s="13" t="s">
        <v>232</v>
      </c>
      <c r="D125" s="5">
        <v>0</v>
      </c>
      <c r="E125" s="6"/>
      <c r="F125" s="5"/>
      <c r="G125" s="21">
        <v>50000</v>
      </c>
      <c r="H125" s="20">
        <f t="shared" si="21"/>
        <v>50000</v>
      </c>
      <c r="I125" s="192">
        <v>50000</v>
      </c>
      <c r="K125" s="303">
        <v>0</v>
      </c>
      <c r="L125" s="353">
        <v>0</v>
      </c>
      <c r="M125" s="353">
        <v>0</v>
      </c>
      <c r="N125" s="387">
        <f t="shared" si="22"/>
        <v>0</v>
      </c>
      <c r="O125" s="355">
        <v>0</v>
      </c>
      <c r="P125" s="387">
        <f t="shared" si="23"/>
        <v>50000</v>
      </c>
    </row>
    <row r="126" spans="1:16" ht="15">
      <c r="A126" s="122"/>
      <c r="B126" s="120">
        <v>23</v>
      </c>
      <c r="C126" s="13" t="s">
        <v>233</v>
      </c>
      <c r="D126" s="20">
        <v>0</v>
      </c>
      <c r="E126" s="21"/>
      <c r="F126" s="20"/>
      <c r="G126" s="21">
        <v>500000</v>
      </c>
      <c r="H126" s="20">
        <f t="shared" si="21"/>
        <v>500000</v>
      </c>
      <c r="I126" s="192">
        <v>500000</v>
      </c>
      <c r="K126" s="303">
        <v>0</v>
      </c>
      <c r="L126" s="353">
        <v>0</v>
      </c>
      <c r="M126" s="353">
        <v>0</v>
      </c>
      <c r="N126" s="387">
        <f t="shared" si="22"/>
        <v>0</v>
      </c>
      <c r="O126" s="355">
        <v>0</v>
      </c>
      <c r="P126" s="387">
        <f t="shared" si="23"/>
        <v>500000</v>
      </c>
    </row>
    <row r="127" spans="1:16" ht="15.75" thickBot="1">
      <c r="A127" s="122"/>
      <c r="B127" s="120">
        <v>24</v>
      </c>
      <c r="C127" s="15" t="s">
        <v>234</v>
      </c>
      <c r="D127" s="34">
        <v>0</v>
      </c>
      <c r="E127" s="30"/>
      <c r="F127" s="34"/>
      <c r="G127" s="30">
        <v>1000000</v>
      </c>
      <c r="H127" s="34">
        <f t="shared" si="21"/>
        <v>1000000</v>
      </c>
      <c r="I127" s="202">
        <v>1000000</v>
      </c>
      <c r="K127" s="356">
        <v>0</v>
      </c>
      <c r="L127" s="353">
        <v>0</v>
      </c>
      <c r="M127" s="353">
        <v>0</v>
      </c>
      <c r="N127" s="387">
        <f t="shared" si="22"/>
        <v>0</v>
      </c>
      <c r="O127" s="357">
        <v>0</v>
      </c>
      <c r="P127" s="387">
        <f t="shared" si="23"/>
        <v>1000000</v>
      </c>
    </row>
    <row r="128" spans="1:16" ht="15.75" thickBot="1">
      <c r="A128" s="416"/>
      <c r="B128" s="258" t="s">
        <v>136</v>
      </c>
      <c r="C128" s="259" t="s">
        <v>45</v>
      </c>
      <c r="D128" s="265"/>
      <c r="E128" s="266"/>
      <c r="F128" s="265"/>
      <c r="G128" s="272">
        <f>+G129</f>
        <v>500000</v>
      </c>
      <c r="H128" s="271">
        <f>+G128</f>
        <v>500000</v>
      </c>
      <c r="I128" s="276"/>
      <c r="J128" s="263"/>
      <c r="K128" s="346">
        <v>45360</v>
      </c>
      <c r="L128" s="347">
        <v>0</v>
      </c>
      <c r="M128" s="347">
        <v>0</v>
      </c>
      <c r="N128" s="347">
        <f>+N129</f>
        <v>0</v>
      </c>
      <c r="O128" s="347">
        <f>+O129</f>
        <v>45360</v>
      </c>
      <c r="P128" s="347">
        <f>+P129</f>
        <v>454640</v>
      </c>
    </row>
    <row r="129" spans="1:16" ht="15.75" thickBot="1">
      <c r="A129" s="416"/>
      <c r="B129" s="127">
        <v>1</v>
      </c>
      <c r="C129" s="4" t="s">
        <v>17</v>
      </c>
      <c r="D129" s="16">
        <v>0</v>
      </c>
      <c r="E129" s="17"/>
      <c r="F129" s="16"/>
      <c r="G129" s="6">
        <v>500000</v>
      </c>
      <c r="H129" s="5">
        <f>+G129</f>
        <v>500000</v>
      </c>
      <c r="I129" s="186"/>
      <c r="K129" s="363">
        <v>45360</v>
      </c>
      <c r="L129" s="351">
        <v>0</v>
      </c>
      <c r="M129" s="351">
        <v>0</v>
      </c>
      <c r="N129" s="352">
        <f>+O129-K129</f>
        <v>0</v>
      </c>
      <c r="O129" s="352">
        <v>45360</v>
      </c>
      <c r="P129" s="352">
        <f>+H129-O129</f>
        <v>454640</v>
      </c>
    </row>
    <row r="130" spans="1:16" ht="15.75" thickBot="1">
      <c r="A130" s="416"/>
      <c r="B130" s="258" t="s">
        <v>137</v>
      </c>
      <c r="C130" s="277" t="s">
        <v>235</v>
      </c>
      <c r="D130" s="265"/>
      <c r="E130" s="266"/>
      <c r="F130" s="265"/>
      <c r="G130" s="272">
        <f>+G131+G132+G133+G134+G135+G136+G137+G138+G139+G140</f>
        <v>1233000</v>
      </c>
      <c r="H130" s="271">
        <f>SUM(G130)</f>
        <v>1233000</v>
      </c>
      <c r="I130" s="269">
        <f>+I131+I132+I133+I134+I135+I136+I137+I138+I139+I140</f>
        <v>1233000</v>
      </c>
      <c r="J130" s="263"/>
      <c r="K130" s="346">
        <v>42633.9</v>
      </c>
      <c r="L130" s="347">
        <v>49505.07</v>
      </c>
      <c r="M130" s="347">
        <v>14577</v>
      </c>
      <c r="N130" s="347">
        <f>+O130-K130-L130-M130</f>
        <v>135540.84</v>
      </c>
      <c r="O130" s="347">
        <f>+O131+O132+O133+O134+O135+O136+O137+O138+O139+O140</f>
        <v>242256.81</v>
      </c>
      <c r="P130" s="347">
        <f>+H130-O130</f>
        <v>990743.19</v>
      </c>
    </row>
    <row r="131" spans="1:16" ht="15">
      <c r="A131" s="416"/>
      <c r="B131" s="127">
        <v>1</v>
      </c>
      <c r="C131" s="35" t="s">
        <v>18</v>
      </c>
      <c r="D131" s="24">
        <v>0</v>
      </c>
      <c r="E131" s="6"/>
      <c r="F131" s="24"/>
      <c r="G131" s="36">
        <v>50000</v>
      </c>
      <c r="H131" s="37">
        <f aca="true" t="shared" si="24" ref="H131:H140">SUM(G131)</f>
        <v>50000</v>
      </c>
      <c r="I131" s="203">
        <v>50000</v>
      </c>
      <c r="K131" s="302">
        <v>30843.9</v>
      </c>
      <c r="L131" s="353">
        <v>0</v>
      </c>
      <c r="M131" s="353">
        <v>0</v>
      </c>
      <c r="N131" s="354">
        <f>+O131-K131-L131-M131</f>
        <v>18999.699999999997</v>
      </c>
      <c r="O131" s="354">
        <v>49843.6</v>
      </c>
      <c r="P131" s="354">
        <f>+H131-O131</f>
        <v>156.40000000000146</v>
      </c>
    </row>
    <row r="132" spans="1:16" ht="15">
      <c r="A132" s="416"/>
      <c r="B132" s="127">
        <v>3</v>
      </c>
      <c r="C132" s="38" t="s">
        <v>19</v>
      </c>
      <c r="D132" s="5">
        <v>0</v>
      </c>
      <c r="E132" s="6"/>
      <c r="F132" s="5"/>
      <c r="G132" s="36">
        <v>134000</v>
      </c>
      <c r="H132" s="39">
        <f t="shared" si="24"/>
        <v>134000</v>
      </c>
      <c r="I132" s="188">
        <v>134000</v>
      </c>
      <c r="K132" s="303">
        <v>11790</v>
      </c>
      <c r="L132" s="353">
        <v>22263</v>
      </c>
      <c r="M132" s="353">
        <v>8677</v>
      </c>
      <c r="N132" s="387">
        <f aca="true" t="shared" si="25" ref="N132:N140">+O132-K132-L132-M132</f>
        <v>75553.14</v>
      </c>
      <c r="O132" s="355">
        <v>118283.14</v>
      </c>
      <c r="P132" s="387">
        <f aca="true" t="shared" si="26" ref="P132:P140">+H132-O132</f>
        <v>15716.86</v>
      </c>
    </row>
    <row r="133" spans="1:16" ht="15">
      <c r="A133" s="416"/>
      <c r="B133" s="127">
        <v>4</v>
      </c>
      <c r="C133" s="38" t="s">
        <v>20</v>
      </c>
      <c r="D133" s="5">
        <v>0</v>
      </c>
      <c r="E133" s="6"/>
      <c r="F133" s="5"/>
      <c r="G133" s="36">
        <v>50000</v>
      </c>
      <c r="H133" s="39">
        <f t="shared" si="24"/>
        <v>50000</v>
      </c>
      <c r="I133" s="188">
        <v>50000</v>
      </c>
      <c r="K133" s="303">
        <v>0</v>
      </c>
      <c r="L133" s="353">
        <v>0</v>
      </c>
      <c r="M133" s="353">
        <v>0</v>
      </c>
      <c r="N133" s="387">
        <f t="shared" si="25"/>
        <v>0</v>
      </c>
      <c r="O133" s="355">
        <v>0</v>
      </c>
      <c r="P133" s="387">
        <f t="shared" si="26"/>
        <v>50000</v>
      </c>
    </row>
    <row r="134" spans="1:16" ht="15">
      <c r="A134" s="416"/>
      <c r="B134" s="127">
        <v>5</v>
      </c>
      <c r="C134" s="38" t="s">
        <v>21</v>
      </c>
      <c r="D134" s="5">
        <v>0</v>
      </c>
      <c r="E134" s="6"/>
      <c r="F134" s="5"/>
      <c r="G134" s="36">
        <v>50000</v>
      </c>
      <c r="H134" s="39">
        <f t="shared" si="24"/>
        <v>50000</v>
      </c>
      <c r="I134" s="188">
        <v>50000</v>
      </c>
      <c r="K134" s="303">
        <v>0</v>
      </c>
      <c r="L134" s="353">
        <v>27242.07</v>
      </c>
      <c r="M134" s="353">
        <v>0</v>
      </c>
      <c r="N134" s="387">
        <f t="shared" si="25"/>
        <v>0</v>
      </c>
      <c r="O134" s="355">
        <v>27242.07</v>
      </c>
      <c r="P134" s="387">
        <f t="shared" si="26"/>
        <v>22757.93</v>
      </c>
    </row>
    <row r="135" spans="1:16" ht="15">
      <c r="A135" s="416"/>
      <c r="B135" s="127">
        <v>7</v>
      </c>
      <c r="C135" s="40" t="s">
        <v>22</v>
      </c>
      <c r="D135" s="20">
        <v>0</v>
      </c>
      <c r="E135" s="21"/>
      <c r="F135" s="20"/>
      <c r="G135" s="41">
        <v>350000</v>
      </c>
      <c r="H135" s="42">
        <f t="shared" si="24"/>
        <v>350000</v>
      </c>
      <c r="I135" s="188">
        <v>350000</v>
      </c>
      <c r="K135" s="303">
        <v>0</v>
      </c>
      <c r="L135" s="353">
        <v>0</v>
      </c>
      <c r="M135" s="353">
        <v>0</v>
      </c>
      <c r="N135" s="387">
        <f t="shared" si="25"/>
        <v>0</v>
      </c>
      <c r="O135" s="355">
        <v>0</v>
      </c>
      <c r="P135" s="387">
        <f t="shared" si="26"/>
        <v>350000</v>
      </c>
    </row>
    <row r="136" spans="1:16" ht="15">
      <c r="A136" s="416"/>
      <c r="B136" s="127">
        <v>8</v>
      </c>
      <c r="C136" s="40" t="s">
        <v>236</v>
      </c>
      <c r="D136" s="20">
        <v>0</v>
      </c>
      <c r="E136" s="21"/>
      <c r="F136" s="20"/>
      <c r="G136" s="41">
        <v>25000</v>
      </c>
      <c r="H136" s="42">
        <f t="shared" si="24"/>
        <v>25000</v>
      </c>
      <c r="I136" s="188">
        <v>25000</v>
      </c>
      <c r="K136" s="303">
        <v>0</v>
      </c>
      <c r="L136" s="353">
        <v>0</v>
      </c>
      <c r="M136" s="353">
        <v>0</v>
      </c>
      <c r="N136" s="387">
        <f t="shared" si="25"/>
        <v>0</v>
      </c>
      <c r="O136" s="355">
        <v>0</v>
      </c>
      <c r="P136" s="387">
        <f t="shared" si="26"/>
        <v>25000</v>
      </c>
    </row>
    <row r="137" spans="1:16" ht="15">
      <c r="A137" s="416"/>
      <c r="B137" s="127">
        <v>9</v>
      </c>
      <c r="C137" s="40" t="s">
        <v>237</v>
      </c>
      <c r="D137" s="20">
        <v>0</v>
      </c>
      <c r="E137" s="21"/>
      <c r="F137" s="20"/>
      <c r="G137" s="41">
        <v>24000</v>
      </c>
      <c r="H137" s="42">
        <f t="shared" si="24"/>
        <v>24000</v>
      </c>
      <c r="I137" s="188">
        <v>24000</v>
      </c>
      <c r="K137" s="303">
        <v>0</v>
      </c>
      <c r="L137" s="353">
        <v>0</v>
      </c>
      <c r="M137" s="353">
        <v>0</v>
      </c>
      <c r="N137" s="387">
        <f t="shared" si="25"/>
        <v>21206</v>
      </c>
      <c r="O137" s="355">
        <v>21206</v>
      </c>
      <c r="P137" s="387">
        <f t="shared" si="26"/>
        <v>2794</v>
      </c>
    </row>
    <row r="138" spans="1:16" ht="15">
      <c r="A138" s="416"/>
      <c r="B138" s="127">
        <v>10</v>
      </c>
      <c r="C138" s="40" t="s">
        <v>238</v>
      </c>
      <c r="D138" s="20">
        <v>0</v>
      </c>
      <c r="E138" s="21"/>
      <c r="F138" s="20"/>
      <c r="G138" s="41">
        <v>50000</v>
      </c>
      <c r="H138" s="42">
        <f t="shared" si="24"/>
        <v>50000</v>
      </c>
      <c r="I138" s="188">
        <v>50000</v>
      </c>
      <c r="K138" s="303">
        <v>0</v>
      </c>
      <c r="L138" s="353">
        <v>0</v>
      </c>
      <c r="M138" s="353">
        <v>0</v>
      </c>
      <c r="N138" s="387">
        <f t="shared" si="25"/>
        <v>4400</v>
      </c>
      <c r="O138" s="355">
        <v>4400</v>
      </c>
      <c r="P138" s="387">
        <f t="shared" si="26"/>
        <v>45600</v>
      </c>
    </row>
    <row r="139" spans="1:16" ht="15">
      <c r="A139" s="416"/>
      <c r="B139" s="127">
        <v>11</v>
      </c>
      <c r="C139" s="40" t="s">
        <v>286</v>
      </c>
      <c r="D139" s="20">
        <v>0</v>
      </c>
      <c r="E139" s="21"/>
      <c r="F139" s="20"/>
      <c r="G139" s="41">
        <v>200000</v>
      </c>
      <c r="H139" s="42">
        <f t="shared" si="24"/>
        <v>200000</v>
      </c>
      <c r="I139" s="188">
        <v>200000</v>
      </c>
      <c r="K139" s="303">
        <v>0</v>
      </c>
      <c r="L139" s="353">
        <v>0</v>
      </c>
      <c r="M139" s="353">
        <v>5900</v>
      </c>
      <c r="N139" s="387">
        <f t="shared" si="25"/>
        <v>15382</v>
      </c>
      <c r="O139" s="355">
        <v>21282</v>
      </c>
      <c r="P139" s="387">
        <f t="shared" si="26"/>
        <v>178718</v>
      </c>
    </row>
    <row r="140" spans="1:16" ht="15.75" thickBot="1">
      <c r="A140" s="416"/>
      <c r="B140" s="127">
        <v>12</v>
      </c>
      <c r="C140" s="40" t="s">
        <v>287</v>
      </c>
      <c r="D140" s="20">
        <v>0</v>
      </c>
      <c r="E140" s="21"/>
      <c r="F140" s="20"/>
      <c r="G140" s="41">
        <v>300000</v>
      </c>
      <c r="H140" s="42">
        <f t="shared" si="24"/>
        <v>300000</v>
      </c>
      <c r="I140" s="188">
        <v>300000</v>
      </c>
      <c r="K140" s="356">
        <v>0</v>
      </c>
      <c r="L140" s="353">
        <v>0</v>
      </c>
      <c r="M140" s="353">
        <v>0</v>
      </c>
      <c r="N140" s="387">
        <f t="shared" si="25"/>
        <v>0</v>
      </c>
      <c r="O140" s="357">
        <v>0</v>
      </c>
      <c r="P140" s="387">
        <f t="shared" si="26"/>
        <v>300000</v>
      </c>
    </row>
    <row r="141" spans="1:16" ht="15.75" thickBot="1">
      <c r="A141" s="416"/>
      <c r="B141" s="258" t="s">
        <v>138</v>
      </c>
      <c r="C141" s="314" t="s">
        <v>46</v>
      </c>
      <c r="D141" s="265"/>
      <c r="E141" s="266"/>
      <c r="F141" s="265"/>
      <c r="G141" s="272">
        <f>+G142+G156+G160</f>
        <v>1642000</v>
      </c>
      <c r="H141" s="271">
        <f>+H142+H156+H160</f>
        <v>1642000</v>
      </c>
      <c r="I141" s="306"/>
      <c r="J141" s="263"/>
      <c r="K141" s="364">
        <v>0</v>
      </c>
      <c r="L141" s="347">
        <v>77888.89</v>
      </c>
      <c r="M141" s="347">
        <v>27986.289999999994</v>
      </c>
      <c r="N141" s="347">
        <f>+N142+N156</f>
        <v>39399.4</v>
      </c>
      <c r="O141" s="347">
        <f>+O142+O156</f>
        <v>88288.19</v>
      </c>
      <c r="P141" s="347">
        <f>+P142+P156</f>
        <v>1103711.81</v>
      </c>
    </row>
    <row r="142" spans="1:16" ht="15.75" thickBot="1">
      <c r="A142" s="416"/>
      <c r="B142" s="312" t="s">
        <v>139</v>
      </c>
      <c r="C142" s="317" t="s">
        <v>23</v>
      </c>
      <c r="D142" s="318"/>
      <c r="E142" s="319"/>
      <c r="F142" s="318"/>
      <c r="G142" s="281">
        <f>+G143+G144+G145+G146+G147+G148+G149+G150+G151+G152+G153+G154+G155</f>
        <v>1052000</v>
      </c>
      <c r="H142" s="280">
        <f>SUM(G142)</f>
        <v>1052000</v>
      </c>
      <c r="I142" s="269">
        <f>SUM(I143:I155)</f>
        <v>1052000</v>
      </c>
      <c r="J142" s="263"/>
      <c r="K142" s="364">
        <v>0</v>
      </c>
      <c r="L142" s="347">
        <v>48888.79</v>
      </c>
      <c r="M142" s="347">
        <v>0</v>
      </c>
      <c r="N142" s="347">
        <f>+O142-K142-L142-S150-M142</f>
        <v>32622.4</v>
      </c>
      <c r="O142" s="347">
        <f>+O143+O144+O145+O146+O147+O148+O149+O150+O151+O152+O153+O154+O155</f>
        <v>81511.19</v>
      </c>
      <c r="P142" s="347">
        <f>+H142-O142</f>
        <v>970488.81</v>
      </c>
    </row>
    <row r="143" spans="1:16" ht="15">
      <c r="A143" s="416"/>
      <c r="B143" s="120">
        <v>1</v>
      </c>
      <c r="C143" s="43" t="s">
        <v>239</v>
      </c>
      <c r="D143" s="44">
        <v>0</v>
      </c>
      <c r="E143" s="45"/>
      <c r="F143" s="44"/>
      <c r="G143" s="46">
        <v>70000</v>
      </c>
      <c r="H143" s="47">
        <f aca="true" t="shared" si="27" ref="H143:H164">SUM(G143)</f>
        <v>70000</v>
      </c>
      <c r="I143" s="205">
        <v>70000</v>
      </c>
      <c r="K143" s="302">
        <v>0</v>
      </c>
      <c r="L143" s="353">
        <v>0</v>
      </c>
      <c r="M143" s="353"/>
      <c r="N143" s="354">
        <f>+O143-K143-L143-M143</f>
        <v>0</v>
      </c>
      <c r="O143" s="354">
        <v>0</v>
      </c>
      <c r="P143" s="354">
        <f>+H143-O143</f>
        <v>70000</v>
      </c>
    </row>
    <row r="144" spans="1:16" ht="15">
      <c r="A144" s="416"/>
      <c r="B144" s="127">
        <v>2</v>
      </c>
      <c r="C144" s="25" t="s">
        <v>240</v>
      </c>
      <c r="D144" s="20">
        <v>0</v>
      </c>
      <c r="E144" s="21"/>
      <c r="F144" s="20"/>
      <c r="G144" s="48">
        <v>250000</v>
      </c>
      <c r="H144" s="49">
        <f t="shared" si="27"/>
        <v>250000</v>
      </c>
      <c r="I144" s="206">
        <v>250000</v>
      </c>
      <c r="K144" s="303">
        <v>0</v>
      </c>
      <c r="L144" s="353">
        <v>0</v>
      </c>
      <c r="M144" s="353"/>
      <c r="N144" s="387">
        <f aca="true" t="shared" si="28" ref="N144:N155">+O144-K144-L144-M144</f>
        <v>3874.5</v>
      </c>
      <c r="O144" s="355">
        <v>3874.5</v>
      </c>
      <c r="P144" s="387">
        <f aca="true" t="shared" si="29" ref="P144:P155">+H144-O144</f>
        <v>246125.5</v>
      </c>
    </row>
    <row r="145" spans="1:16" ht="15">
      <c r="A145" s="416"/>
      <c r="B145" s="120">
        <v>3</v>
      </c>
      <c r="C145" s="25" t="s">
        <v>241</v>
      </c>
      <c r="D145" s="5">
        <v>0</v>
      </c>
      <c r="E145" s="6"/>
      <c r="F145" s="5"/>
      <c r="G145" s="48">
        <v>90000</v>
      </c>
      <c r="H145" s="49">
        <f t="shared" si="27"/>
        <v>90000</v>
      </c>
      <c r="I145" s="206">
        <v>90000</v>
      </c>
      <c r="K145" s="303">
        <v>0</v>
      </c>
      <c r="L145" s="353">
        <v>0</v>
      </c>
      <c r="M145" s="353"/>
      <c r="N145" s="387">
        <f t="shared" si="28"/>
        <v>0</v>
      </c>
      <c r="O145" s="355">
        <v>0</v>
      </c>
      <c r="P145" s="387">
        <f t="shared" si="29"/>
        <v>90000</v>
      </c>
    </row>
    <row r="146" spans="1:16" ht="15">
      <c r="A146" s="416"/>
      <c r="B146" s="120">
        <v>4</v>
      </c>
      <c r="C146" s="25" t="s">
        <v>242</v>
      </c>
      <c r="D146" s="5">
        <v>0</v>
      </c>
      <c r="E146" s="6"/>
      <c r="F146" s="5"/>
      <c r="G146" s="48">
        <v>75000</v>
      </c>
      <c r="H146" s="49">
        <f t="shared" si="27"/>
        <v>75000</v>
      </c>
      <c r="I146" s="206">
        <v>75000</v>
      </c>
      <c r="K146" s="303">
        <v>0</v>
      </c>
      <c r="L146" s="353">
        <v>48888.79</v>
      </c>
      <c r="M146" s="353"/>
      <c r="N146" s="387">
        <f t="shared" si="28"/>
        <v>-0.09999999999854481</v>
      </c>
      <c r="O146" s="355">
        <v>48888.69</v>
      </c>
      <c r="P146" s="387">
        <f t="shared" si="29"/>
        <v>26111.309999999998</v>
      </c>
    </row>
    <row r="147" spans="1:16" ht="15">
      <c r="A147" s="416"/>
      <c r="B147" s="127">
        <v>5</v>
      </c>
      <c r="C147" s="25" t="s">
        <v>24</v>
      </c>
      <c r="D147" s="5">
        <v>0</v>
      </c>
      <c r="E147" s="6"/>
      <c r="F147" s="5"/>
      <c r="G147" s="48">
        <v>30000</v>
      </c>
      <c r="H147" s="49">
        <f t="shared" si="27"/>
        <v>30000</v>
      </c>
      <c r="I147" s="206">
        <v>30000</v>
      </c>
      <c r="K147" s="303">
        <v>0</v>
      </c>
      <c r="L147" s="353">
        <v>0</v>
      </c>
      <c r="M147" s="353"/>
      <c r="N147" s="387">
        <f t="shared" si="28"/>
        <v>0</v>
      </c>
      <c r="O147" s="355">
        <v>0</v>
      </c>
      <c r="P147" s="387">
        <f t="shared" si="29"/>
        <v>30000</v>
      </c>
    </row>
    <row r="148" spans="1:16" ht="15">
      <c r="A148" s="416"/>
      <c r="B148" s="120">
        <v>6</v>
      </c>
      <c r="C148" s="25" t="s">
        <v>243</v>
      </c>
      <c r="D148" s="5">
        <v>0</v>
      </c>
      <c r="E148" s="6"/>
      <c r="F148" s="5"/>
      <c r="G148" s="48">
        <v>250000</v>
      </c>
      <c r="H148" s="49">
        <f t="shared" si="27"/>
        <v>250000</v>
      </c>
      <c r="I148" s="206">
        <v>250000</v>
      </c>
      <c r="K148" s="303">
        <v>0</v>
      </c>
      <c r="L148" s="353">
        <v>0</v>
      </c>
      <c r="M148" s="353"/>
      <c r="N148" s="387">
        <f t="shared" si="28"/>
        <v>0</v>
      </c>
      <c r="O148" s="355">
        <v>0</v>
      </c>
      <c r="P148" s="387">
        <f t="shared" si="29"/>
        <v>250000</v>
      </c>
    </row>
    <row r="149" spans="1:16" ht="15">
      <c r="A149" s="416"/>
      <c r="B149" s="120">
        <v>7</v>
      </c>
      <c r="C149" s="25" t="s">
        <v>244</v>
      </c>
      <c r="D149" s="5">
        <v>0</v>
      </c>
      <c r="E149" s="6"/>
      <c r="F149" s="5"/>
      <c r="G149" s="48">
        <v>5000</v>
      </c>
      <c r="H149" s="49">
        <f t="shared" si="27"/>
        <v>5000</v>
      </c>
      <c r="I149" s="206">
        <v>5000</v>
      </c>
      <c r="K149" s="303">
        <v>0</v>
      </c>
      <c r="L149" s="353">
        <v>0</v>
      </c>
      <c r="M149" s="353"/>
      <c r="N149" s="387">
        <f t="shared" si="28"/>
        <v>3878</v>
      </c>
      <c r="O149" s="355">
        <v>3878</v>
      </c>
      <c r="P149" s="387">
        <f t="shared" si="29"/>
        <v>1122</v>
      </c>
    </row>
    <row r="150" spans="1:16" ht="15">
      <c r="A150" s="416"/>
      <c r="B150" s="127">
        <v>8</v>
      </c>
      <c r="C150" s="25" t="s">
        <v>245</v>
      </c>
      <c r="D150" s="5"/>
      <c r="E150" s="6"/>
      <c r="F150" s="5"/>
      <c r="G150" s="48">
        <v>200000</v>
      </c>
      <c r="H150" s="49">
        <f t="shared" si="27"/>
        <v>200000</v>
      </c>
      <c r="I150" s="206">
        <v>200000</v>
      </c>
      <c r="K150" s="303">
        <v>0</v>
      </c>
      <c r="L150" s="353">
        <v>0</v>
      </c>
      <c r="M150" s="353"/>
      <c r="N150" s="387">
        <f t="shared" si="28"/>
        <v>24870</v>
      </c>
      <c r="O150" s="355">
        <v>24870</v>
      </c>
      <c r="P150" s="387">
        <f t="shared" si="29"/>
        <v>175130</v>
      </c>
    </row>
    <row r="151" spans="1:16" ht="15">
      <c r="A151" s="416"/>
      <c r="B151" s="127">
        <v>9</v>
      </c>
      <c r="C151" s="25" t="s">
        <v>246</v>
      </c>
      <c r="D151" s="5">
        <v>0</v>
      </c>
      <c r="E151" s="6"/>
      <c r="F151" s="5"/>
      <c r="G151" s="48">
        <v>8000</v>
      </c>
      <c r="H151" s="49">
        <f t="shared" si="27"/>
        <v>8000</v>
      </c>
      <c r="I151" s="206">
        <v>8000</v>
      </c>
      <c r="K151" s="303">
        <v>0</v>
      </c>
      <c r="L151" s="353">
        <v>0</v>
      </c>
      <c r="M151" s="353"/>
      <c r="N151" s="387">
        <f t="shared" si="28"/>
        <v>0</v>
      </c>
      <c r="O151" s="355">
        <v>0</v>
      </c>
      <c r="P151" s="387">
        <f t="shared" si="29"/>
        <v>8000</v>
      </c>
    </row>
    <row r="152" spans="1:16" ht="15">
      <c r="A152" s="416"/>
      <c r="B152" s="120">
        <v>10</v>
      </c>
      <c r="C152" s="25" t="s">
        <v>247</v>
      </c>
      <c r="D152" s="5">
        <v>0</v>
      </c>
      <c r="E152" s="6"/>
      <c r="F152" s="5"/>
      <c r="G152" s="48">
        <v>50000</v>
      </c>
      <c r="H152" s="49">
        <f t="shared" si="27"/>
        <v>50000</v>
      </c>
      <c r="I152" s="206">
        <v>50000</v>
      </c>
      <c r="K152" s="303">
        <v>0</v>
      </c>
      <c r="L152" s="353">
        <v>0</v>
      </c>
      <c r="M152" s="353"/>
      <c r="N152" s="387">
        <f t="shared" si="28"/>
        <v>0</v>
      </c>
      <c r="O152" s="355">
        <v>0</v>
      </c>
      <c r="P152" s="387">
        <f t="shared" si="29"/>
        <v>50000</v>
      </c>
    </row>
    <row r="153" spans="1:16" ht="15">
      <c r="A153" s="416"/>
      <c r="B153" s="120">
        <v>11</v>
      </c>
      <c r="C153" s="25" t="s">
        <v>248</v>
      </c>
      <c r="D153" s="20">
        <v>0</v>
      </c>
      <c r="E153" s="21"/>
      <c r="F153" s="20"/>
      <c r="G153" s="48">
        <v>15000</v>
      </c>
      <c r="H153" s="49">
        <f t="shared" si="27"/>
        <v>15000</v>
      </c>
      <c r="I153" s="206">
        <v>15000</v>
      </c>
      <c r="K153" s="303">
        <v>0</v>
      </c>
      <c r="L153" s="353">
        <v>0</v>
      </c>
      <c r="M153" s="353"/>
      <c r="N153" s="387">
        <f t="shared" si="28"/>
        <v>0</v>
      </c>
      <c r="O153" s="355">
        <v>0</v>
      </c>
      <c r="P153" s="387">
        <f t="shared" si="29"/>
        <v>15000</v>
      </c>
    </row>
    <row r="154" spans="1:16" ht="15">
      <c r="A154" s="416"/>
      <c r="B154" s="127">
        <v>12</v>
      </c>
      <c r="C154" s="25" t="s">
        <v>249</v>
      </c>
      <c r="D154" s="20">
        <v>0</v>
      </c>
      <c r="E154" s="21"/>
      <c r="F154" s="20"/>
      <c r="G154" s="48">
        <v>6000</v>
      </c>
      <c r="H154" s="49">
        <f t="shared" si="27"/>
        <v>6000</v>
      </c>
      <c r="I154" s="206">
        <v>6000</v>
      </c>
      <c r="K154" s="303">
        <v>0</v>
      </c>
      <c r="L154" s="353">
        <v>0</v>
      </c>
      <c r="M154" s="353"/>
      <c r="N154" s="387">
        <f t="shared" si="28"/>
        <v>0</v>
      </c>
      <c r="O154" s="355">
        <v>0</v>
      </c>
      <c r="P154" s="387">
        <f t="shared" si="29"/>
        <v>6000</v>
      </c>
    </row>
    <row r="155" spans="1:16" ht="15.75" thickBot="1">
      <c r="A155" s="416"/>
      <c r="B155" s="120">
        <v>13</v>
      </c>
      <c r="C155" s="25" t="s">
        <v>250</v>
      </c>
      <c r="D155" s="20">
        <v>0</v>
      </c>
      <c r="E155" s="21"/>
      <c r="F155" s="20"/>
      <c r="G155" s="48">
        <v>3000</v>
      </c>
      <c r="H155" s="49">
        <f t="shared" si="27"/>
        <v>3000</v>
      </c>
      <c r="I155" s="206">
        <v>3000</v>
      </c>
      <c r="K155" s="303">
        <v>0</v>
      </c>
      <c r="L155" s="353">
        <v>0</v>
      </c>
      <c r="M155" s="351"/>
      <c r="N155" s="387">
        <f t="shared" si="28"/>
        <v>0</v>
      </c>
      <c r="O155" s="357">
        <v>0</v>
      </c>
      <c r="P155" s="387">
        <f t="shared" si="29"/>
        <v>3000</v>
      </c>
    </row>
    <row r="156" spans="1:16" ht="15.75" thickBot="1">
      <c r="A156" s="416"/>
      <c r="B156" s="312" t="s">
        <v>140</v>
      </c>
      <c r="C156" s="314" t="s">
        <v>25</v>
      </c>
      <c r="D156" s="265"/>
      <c r="E156" s="266"/>
      <c r="F156" s="265"/>
      <c r="G156" s="315">
        <v>140000</v>
      </c>
      <c r="H156" s="316">
        <f t="shared" si="27"/>
        <v>140000</v>
      </c>
      <c r="I156" s="269">
        <f>SUM(I157:I159)</f>
        <v>140000</v>
      </c>
      <c r="J156" s="263"/>
      <c r="K156" s="364">
        <v>0</v>
      </c>
      <c r="L156" s="365">
        <v>0</v>
      </c>
      <c r="M156" s="365">
        <v>0</v>
      </c>
      <c r="N156" s="347">
        <f>+N157+N158+N159</f>
        <v>6777</v>
      </c>
      <c r="O156" s="347">
        <f>+O157+O158+O159</f>
        <v>6777</v>
      </c>
      <c r="P156" s="347">
        <f aca="true" t="shared" si="30" ref="P156:P162">+H156-O156</f>
        <v>133223</v>
      </c>
    </row>
    <row r="157" spans="1:16" ht="15">
      <c r="A157" s="416"/>
      <c r="B157" s="127">
        <v>1</v>
      </c>
      <c r="C157" s="43" t="s">
        <v>26</v>
      </c>
      <c r="D157" s="5">
        <v>0</v>
      </c>
      <c r="E157" s="6"/>
      <c r="F157" s="5"/>
      <c r="G157" s="46">
        <v>70000</v>
      </c>
      <c r="H157" s="47">
        <f t="shared" si="27"/>
        <v>70000</v>
      </c>
      <c r="I157" s="205">
        <v>70000</v>
      </c>
      <c r="K157" s="302">
        <v>0</v>
      </c>
      <c r="L157" s="353">
        <v>0</v>
      </c>
      <c r="M157" s="353">
        <v>0</v>
      </c>
      <c r="N157" s="354">
        <f>+O157-K157-L157-M157</f>
        <v>0</v>
      </c>
      <c r="O157" s="354">
        <v>0</v>
      </c>
      <c r="P157" s="354">
        <f t="shared" si="30"/>
        <v>70000</v>
      </c>
    </row>
    <row r="158" spans="1:16" ht="15">
      <c r="A158" s="416"/>
      <c r="B158" s="120">
        <v>2</v>
      </c>
      <c r="C158" s="25" t="s">
        <v>27</v>
      </c>
      <c r="D158" s="20">
        <v>0</v>
      </c>
      <c r="E158" s="21"/>
      <c r="F158" s="20"/>
      <c r="G158" s="48">
        <v>50000</v>
      </c>
      <c r="H158" s="49">
        <f t="shared" si="27"/>
        <v>50000</v>
      </c>
      <c r="I158" s="207">
        <v>50000</v>
      </c>
      <c r="K158" s="303">
        <v>0</v>
      </c>
      <c r="L158" s="366">
        <v>0</v>
      </c>
      <c r="M158" s="366">
        <v>0</v>
      </c>
      <c r="N158" s="387">
        <f>+O158-K158-L158-M158</f>
        <v>0</v>
      </c>
      <c r="O158" s="355">
        <v>0</v>
      </c>
      <c r="P158" s="387">
        <f t="shared" si="30"/>
        <v>50000</v>
      </c>
    </row>
    <row r="159" spans="1:16" ht="15.75" thickBot="1">
      <c r="A159" s="416"/>
      <c r="B159" s="127">
        <v>3</v>
      </c>
      <c r="C159" s="25" t="s">
        <v>288</v>
      </c>
      <c r="D159" s="20">
        <v>0</v>
      </c>
      <c r="E159" s="21"/>
      <c r="F159" s="20"/>
      <c r="G159" s="48">
        <v>20000</v>
      </c>
      <c r="H159" s="49">
        <f t="shared" si="27"/>
        <v>20000</v>
      </c>
      <c r="I159" s="208">
        <v>20000</v>
      </c>
      <c r="K159" s="356">
        <v>0</v>
      </c>
      <c r="L159" s="362">
        <v>0</v>
      </c>
      <c r="M159" s="362">
        <v>0</v>
      </c>
      <c r="N159" s="387">
        <f>+O159-K159-L159-M159</f>
        <v>6777</v>
      </c>
      <c r="O159" s="357">
        <v>6777</v>
      </c>
      <c r="P159" s="387">
        <f t="shared" si="30"/>
        <v>13223</v>
      </c>
    </row>
    <row r="160" spans="1:16" ht="15.75" thickBot="1">
      <c r="A160" s="416"/>
      <c r="B160" s="312" t="s">
        <v>141</v>
      </c>
      <c r="C160" s="259" t="s">
        <v>47</v>
      </c>
      <c r="D160" s="313"/>
      <c r="E160" s="266"/>
      <c r="F160" s="265"/>
      <c r="G160" s="272">
        <v>450000</v>
      </c>
      <c r="H160" s="271">
        <f t="shared" si="27"/>
        <v>450000</v>
      </c>
      <c r="I160" s="269">
        <f>+I161+I162</f>
        <v>450000</v>
      </c>
      <c r="J160" s="263"/>
      <c r="K160" s="364">
        <v>0</v>
      </c>
      <c r="L160" s="347">
        <v>29000.1</v>
      </c>
      <c r="M160" s="347">
        <v>27986.29</v>
      </c>
      <c r="N160" s="347">
        <v>0</v>
      </c>
      <c r="O160" s="347">
        <f>+O161+O162</f>
        <v>56986.39</v>
      </c>
      <c r="P160" s="347">
        <f t="shared" si="30"/>
        <v>393013.61</v>
      </c>
    </row>
    <row r="161" spans="1:16" ht="15">
      <c r="A161" s="416"/>
      <c r="B161" s="127">
        <v>1</v>
      </c>
      <c r="C161" s="25" t="s">
        <v>28</v>
      </c>
      <c r="D161" s="5">
        <v>0</v>
      </c>
      <c r="E161" s="6"/>
      <c r="F161" s="5"/>
      <c r="G161" s="48">
        <v>250000</v>
      </c>
      <c r="H161" s="49">
        <f t="shared" si="27"/>
        <v>250000</v>
      </c>
      <c r="I161" s="205">
        <v>250000</v>
      </c>
      <c r="K161" s="302">
        <v>0</v>
      </c>
      <c r="L161" s="353">
        <v>29000.1</v>
      </c>
      <c r="M161" s="353">
        <v>0</v>
      </c>
      <c r="N161" s="354">
        <f>+O161-K161-L161-M161</f>
        <v>0</v>
      </c>
      <c r="O161" s="354">
        <v>29000.1</v>
      </c>
      <c r="P161" s="388">
        <f t="shared" si="30"/>
        <v>220999.9</v>
      </c>
    </row>
    <row r="162" spans="1:16" ht="15.75" thickBot="1">
      <c r="A162" s="416"/>
      <c r="B162" s="120">
        <v>2</v>
      </c>
      <c r="C162" s="25" t="s">
        <v>251</v>
      </c>
      <c r="D162" s="5">
        <v>0</v>
      </c>
      <c r="E162" s="6"/>
      <c r="F162" s="5"/>
      <c r="G162" s="48">
        <v>200000</v>
      </c>
      <c r="H162" s="49">
        <f t="shared" si="27"/>
        <v>200000</v>
      </c>
      <c r="I162" s="207">
        <v>200000</v>
      </c>
      <c r="K162" s="356">
        <v>0</v>
      </c>
      <c r="L162" s="353">
        <v>0</v>
      </c>
      <c r="M162" s="353">
        <v>27986.29</v>
      </c>
      <c r="N162" s="352">
        <f>+O162-K162-L162-M162</f>
        <v>0</v>
      </c>
      <c r="O162" s="357">
        <v>27986.29</v>
      </c>
      <c r="P162" s="388">
        <f t="shared" si="30"/>
        <v>172013.71</v>
      </c>
    </row>
    <row r="163" spans="1:16" ht="15.75" thickBot="1">
      <c r="A163" s="84"/>
      <c r="B163" s="258" t="s">
        <v>142</v>
      </c>
      <c r="C163" s="259" t="s">
        <v>48</v>
      </c>
      <c r="D163" s="311"/>
      <c r="E163" s="265"/>
      <c r="F163" s="265"/>
      <c r="G163" s="272">
        <v>650000</v>
      </c>
      <c r="H163" s="271">
        <f t="shared" si="27"/>
        <v>650000</v>
      </c>
      <c r="I163" s="269">
        <f>+I164</f>
        <v>650000</v>
      </c>
      <c r="J163" s="263"/>
      <c r="K163" s="364">
        <v>0</v>
      </c>
      <c r="L163" s="347">
        <v>341398.52</v>
      </c>
      <c r="M163" s="347">
        <v>0</v>
      </c>
      <c r="N163" s="347">
        <f>+N164</f>
        <v>294828.99</v>
      </c>
      <c r="O163" s="347">
        <f>+O164</f>
        <v>636227.51</v>
      </c>
      <c r="P163" s="347">
        <f>+P164</f>
        <v>13772.48999999999</v>
      </c>
    </row>
    <row r="164" spans="1:16" ht="15.75" thickBot="1">
      <c r="A164" s="84"/>
      <c r="B164" s="128">
        <v>1</v>
      </c>
      <c r="C164" s="50" t="s">
        <v>252</v>
      </c>
      <c r="D164" s="44">
        <v>0</v>
      </c>
      <c r="E164" s="16"/>
      <c r="F164" s="44"/>
      <c r="G164" s="17">
        <v>650000</v>
      </c>
      <c r="H164" s="44">
        <f t="shared" si="27"/>
        <v>650000</v>
      </c>
      <c r="I164" s="209">
        <v>650000</v>
      </c>
      <c r="K164" s="350">
        <v>0</v>
      </c>
      <c r="L164" s="351">
        <v>341398.52</v>
      </c>
      <c r="M164" s="351">
        <v>0</v>
      </c>
      <c r="N164" s="352">
        <f>+O164-K164-L164-M164</f>
        <v>294828.99</v>
      </c>
      <c r="O164" s="352">
        <v>636227.51</v>
      </c>
      <c r="P164" s="352">
        <f>+H164-O164</f>
        <v>13772.48999999999</v>
      </c>
    </row>
    <row r="165" spans="1:16" ht="15.75" thickBot="1">
      <c r="A165" s="84"/>
      <c r="B165" s="258" t="s">
        <v>143</v>
      </c>
      <c r="C165" s="259" t="s">
        <v>144</v>
      </c>
      <c r="D165" s="265"/>
      <c r="E165" s="265"/>
      <c r="F165" s="265"/>
      <c r="G165" s="272">
        <f>+G166+G167+G168</f>
        <v>83000</v>
      </c>
      <c r="H165" s="271">
        <f>+G165</f>
        <v>83000</v>
      </c>
      <c r="I165" s="257">
        <f>+I166+I167+I168</f>
        <v>83000</v>
      </c>
      <c r="J165" s="263"/>
      <c r="K165" s="346">
        <v>17697.5</v>
      </c>
      <c r="L165" s="347">
        <v>17959</v>
      </c>
      <c r="M165" s="347">
        <v>0</v>
      </c>
      <c r="N165" s="347">
        <v>0</v>
      </c>
      <c r="O165" s="347">
        <f>+O166+O167+O168</f>
        <v>35656.5</v>
      </c>
      <c r="P165" s="347">
        <f>+H165-O165</f>
        <v>47343.5</v>
      </c>
    </row>
    <row r="166" spans="1:16" ht="15">
      <c r="A166" s="84"/>
      <c r="B166" s="119">
        <v>1</v>
      </c>
      <c r="C166" s="129" t="s">
        <v>253</v>
      </c>
      <c r="D166" s="5">
        <v>0</v>
      </c>
      <c r="E166" s="5"/>
      <c r="F166" s="5"/>
      <c r="G166" s="6">
        <v>10500</v>
      </c>
      <c r="H166" s="5">
        <f>SUM(G166)</f>
        <v>10500</v>
      </c>
      <c r="I166" s="210">
        <v>10500</v>
      </c>
      <c r="K166" s="302">
        <v>0</v>
      </c>
      <c r="L166" s="353">
        <v>0</v>
      </c>
      <c r="M166" s="353">
        <v>0</v>
      </c>
      <c r="N166" s="354">
        <f>+O166-K166-L166-M166</f>
        <v>0</v>
      </c>
      <c r="O166" s="354">
        <v>0</v>
      </c>
      <c r="P166" s="354">
        <f>+H166-O166</f>
        <v>10500</v>
      </c>
    </row>
    <row r="167" spans="1:16" ht="15">
      <c r="A167" s="84"/>
      <c r="B167" s="120">
        <v>2</v>
      </c>
      <c r="C167" s="129" t="s">
        <v>29</v>
      </c>
      <c r="D167" s="20">
        <v>0</v>
      </c>
      <c r="E167" s="20"/>
      <c r="F167" s="20"/>
      <c r="G167" s="21">
        <v>47500</v>
      </c>
      <c r="H167" s="20">
        <f>SUM(G167)</f>
        <v>47500</v>
      </c>
      <c r="I167" s="196">
        <v>47500</v>
      </c>
      <c r="K167" s="303">
        <v>17697.5</v>
      </c>
      <c r="L167" s="353">
        <v>17959</v>
      </c>
      <c r="M167" s="353">
        <v>0</v>
      </c>
      <c r="N167" s="387">
        <f>+O167-K167-L167-M167</f>
        <v>0</v>
      </c>
      <c r="O167" s="355">
        <v>35656.5</v>
      </c>
      <c r="P167" s="387">
        <f>+H167-O167</f>
        <v>11843.5</v>
      </c>
    </row>
    <row r="168" spans="1:16" ht="15.75" thickBot="1">
      <c r="A168" s="84"/>
      <c r="B168" s="121">
        <v>3</v>
      </c>
      <c r="C168" s="130" t="s">
        <v>254</v>
      </c>
      <c r="D168" s="34">
        <v>0</v>
      </c>
      <c r="E168" s="34"/>
      <c r="F168" s="34"/>
      <c r="G168" s="30">
        <v>25000</v>
      </c>
      <c r="H168" s="29">
        <f>SUM(G168)</f>
        <v>25000</v>
      </c>
      <c r="I168" s="200">
        <v>25000</v>
      </c>
      <c r="K168" s="356">
        <v>0</v>
      </c>
      <c r="L168" s="353">
        <v>0</v>
      </c>
      <c r="M168" s="351">
        <v>0</v>
      </c>
      <c r="N168" s="387">
        <f>+O168-K168-L168-M168</f>
        <v>0</v>
      </c>
      <c r="O168" s="357">
        <v>0</v>
      </c>
      <c r="P168" s="387">
        <f>+H168-O168</f>
        <v>25000</v>
      </c>
    </row>
    <row r="169" spans="1:16" ht="15.75" thickBot="1">
      <c r="A169" s="84"/>
      <c r="B169" s="242" t="s">
        <v>145</v>
      </c>
      <c r="C169" s="223" t="s">
        <v>146</v>
      </c>
      <c r="D169" s="222">
        <f>+D170</f>
        <v>31795</v>
      </c>
      <c r="E169" s="220"/>
      <c r="F169" s="220"/>
      <c r="G169" s="221">
        <f>+G170+G171+G180+G181+G182</f>
        <v>1286810</v>
      </c>
      <c r="H169" s="222">
        <f>+H170+H171+H180+H181+H182</f>
        <v>1318605</v>
      </c>
      <c r="I169" s="211">
        <f>+H169</f>
        <v>1318605</v>
      </c>
      <c r="K169" s="348">
        <v>79478.95999999999</v>
      </c>
      <c r="L169" s="349">
        <v>102760.36000000002</v>
      </c>
      <c r="M169" s="349">
        <v>358216.07</v>
      </c>
      <c r="N169" s="349">
        <f>+N170+N171+N181+N182</f>
        <v>327832.62999999995</v>
      </c>
      <c r="O169" s="349">
        <f>+O170+O171+O181+O182</f>
        <v>1010777.97</v>
      </c>
      <c r="P169" s="349">
        <f>+P170+P171+P180+P181+P182</f>
        <v>307827.03</v>
      </c>
    </row>
    <row r="170" spans="1:16" ht="15.75" thickBot="1">
      <c r="A170" s="131"/>
      <c r="B170" s="308" t="s">
        <v>147</v>
      </c>
      <c r="C170" s="223" t="s">
        <v>148</v>
      </c>
      <c r="D170" s="222">
        <v>31795</v>
      </c>
      <c r="E170" s="224"/>
      <c r="F170" s="220"/>
      <c r="G170" s="225">
        <v>250000</v>
      </c>
      <c r="H170" s="226">
        <f>+G170+D170</f>
        <v>281795</v>
      </c>
      <c r="I170" s="212">
        <f>+H170</f>
        <v>281795</v>
      </c>
      <c r="K170" s="348">
        <v>61248.96</v>
      </c>
      <c r="L170" s="367">
        <v>102760.36000000002</v>
      </c>
      <c r="M170" s="367">
        <v>58602.07000000001</v>
      </c>
      <c r="N170" s="367">
        <f>+O170-K170-L170-M170</f>
        <v>45957.57999999996</v>
      </c>
      <c r="O170" s="367">
        <v>268568.97</v>
      </c>
      <c r="P170" s="367">
        <f>+H170-O170</f>
        <v>13226.030000000028</v>
      </c>
    </row>
    <row r="171" spans="1:16" ht="15.75" thickBot="1">
      <c r="A171" s="132"/>
      <c r="B171" s="308" t="s">
        <v>149</v>
      </c>
      <c r="C171" s="227" t="s">
        <v>150</v>
      </c>
      <c r="D171" s="220"/>
      <c r="E171" s="220"/>
      <c r="F171" s="220"/>
      <c r="G171" s="228">
        <v>260000</v>
      </c>
      <c r="H171" s="229">
        <f>+G171</f>
        <v>260000</v>
      </c>
      <c r="I171" s="213">
        <v>350000</v>
      </c>
      <c r="K171" s="348">
        <v>5130</v>
      </c>
      <c r="L171" s="349">
        <v>0</v>
      </c>
      <c r="M171" s="349">
        <v>110700</v>
      </c>
      <c r="N171" s="349">
        <f>+O171-K171-L171-M171</f>
        <v>123497.29999999999</v>
      </c>
      <c r="O171" s="349">
        <v>239327.3</v>
      </c>
      <c r="P171" s="389">
        <f>+H171-O171</f>
        <v>20672.70000000001</v>
      </c>
    </row>
    <row r="172" spans="1:16" ht="15">
      <c r="A172" s="132"/>
      <c r="B172" s="85">
        <v>1</v>
      </c>
      <c r="C172" s="133" t="s">
        <v>289</v>
      </c>
      <c r="D172" s="59">
        <v>0</v>
      </c>
      <c r="E172" s="89"/>
      <c r="F172" s="59"/>
      <c r="G172" s="134">
        <v>60000</v>
      </c>
      <c r="H172" s="135">
        <f aca="true" t="shared" si="31" ref="H172:H179">SUM(G172)</f>
        <v>60000</v>
      </c>
      <c r="I172" s="187"/>
      <c r="K172" s="302">
        <v>0</v>
      </c>
      <c r="L172" s="353"/>
      <c r="M172" s="353"/>
      <c r="N172" s="354"/>
      <c r="O172" s="354"/>
      <c r="P172" s="354"/>
    </row>
    <row r="173" spans="1:16" ht="15">
      <c r="A173" s="132"/>
      <c r="B173" s="93">
        <v>2</v>
      </c>
      <c r="C173" s="136" t="s">
        <v>290</v>
      </c>
      <c r="D173" s="60">
        <v>0</v>
      </c>
      <c r="E173" s="65"/>
      <c r="F173" s="60"/>
      <c r="G173" s="137">
        <v>50000</v>
      </c>
      <c r="H173" s="138">
        <f t="shared" si="31"/>
        <v>50000</v>
      </c>
      <c r="I173" s="188"/>
      <c r="K173" s="303">
        <v>0</v>
      </c>
      <c r="L173" s="366"/>
      <c r="M173" s="366"/>
      <c r="N173" s="366"/>
      <c r="O173" s="355"/>
      <c r="P173" s="354"/>
    </row>
    <row r="174" spans="1:16" ht="15">
      <c r="A174" s="132"/>
      <c r="B174" s="93">
        <v>3</v>
      </c>
      <c r="C174" s="136" t="s">
        <v>151</v>
      </c>
      <c r="D174" s="60">
        <v>0</v>
      </c>
      <c r="E174" s="65"/>
      <c r="F174" s="60"/>
      <c r="G174" s="137">
        <v>20000</v>
      </c>
      <c r="H174" s="138">
        <f t="shared" si="31"/>
        <v>20000</v>
      </c>
      <c r="I174" s="188"/>
      <c r="K174" s="303">
        <v>0</v>
      </c>
      <c r="L174" s="366"/>
      <c r="M174" s="366"/>
      <c r="N174" s="366"/>
      <c r="O174" s="355"/>
      <c r="P174" s="354"/>
    </row>
    <row r="175" spans="1:16" ht="15">
      <c r="A175" s="132"/>
      <c r="B175" s="93">
        <v>4</v>
      </c>
      <c r="C175" s="136" t="s">
        <v>255</v>
      </c>
      <c r="D175" s="60">
        <v>0</v>
      </c>
      <c r="E175" s="65"/>
      <c r="F175" s="60"/>
      <c r="G175" s="137">
        <v>30000</v>
      </c>
      <c r="H175" s="138">
        <f t="shared" si="31"/>
        <v>30000</v>
      </c>
      <c r="I175" s="188"/>
      <c r="K175" s="303">
        <v>0</v>
      </c>
      <c r="L175" s="366"/>
      <c r="M175" s="366"/>
      <c r="N175" s="366"/>
      <c r="O175" s="355"/>
      <c r="P175" s="354"/>
    </row>
    <row r="176" spans="1:16" ht="15">
      <c r="A176" s="132"/>
      <c r="B176" s="93">
        <v>5</v>
      </c>
      <c r="C176" s="136" t="s">
        <v>152</v>
      </c>
      <c r="D176" s="60">
        <v>0</v>
      </c>
      <c r="E176" s="65"/>
      <c r="F176" s="60"/>
      <c r="G176" s="137">
        <v>20000</v>
      </c>
      <c r="H176" s="138">
        <f t="shared" si="31"/>
        <v>20000</v>
      </c>
      <c r="I176" s="188"/>
      <c r="K176" s="303">
        <v>0</v>
      </c>
      <c r="L176" s="366"/>
      <c r="M176" s="366"/>
      <c r="N176" s="366"/>
      <c r="O176" s="355"/>
      <c r="P176" s="354"/>
    </row>
    <row r="177" spans="1:16" ht="15">
      <c r="A177" s="132"/>
      <c r="B177" s="93">
        <v>6</v>
      </c>
      <c r="C177" s="136" t="s">
        <v>153</v>
      </c>
      <c r="D177" s="60">
        <v>0</v>
      </c>
      <c r="E177" s="65"/>
      <c r="F177" s="60"/>
      <c r="G177" s="137">
        <v>40000</v>
      </c>
      <c r="H177" s="138">
        <f t="shared" si="31"/>
        <v>40000</v>
      </c>
      <c r="I177" s="188"/>
      <c r="K177" s="303">
        <v>0</v>
      </c>
      <c r="L177" s="366"/>
      <c r="M177" s="366"/>
      <c r="N177" s="366"/>
      <c r="O177" s="355"/>
      <c r="P177" s="354"/>
    </row>
    <row r="178" spans="1:16" ht="15">
      <c r="A178" s="132"/>
      <c r="B178" s="93">
        <v>7</v>
      </c>
      <c r="C178" s="136" t="s">
        <v>154</v>
      </c>
      <c r="D178" s="60">
        <v>0</v>
      </c>
      <c r="E178" s="65"/>
      <c r="F178" s="60"/>
      <c r="G178" s="137">
        <v>20000</v>
      </c>
      <c r="H178" s="138">
        <f t="shared" si="31"/>
        <v>20000</v>
      </c>
      <c r="I178" s="188"/>
      <c r="K178" s="303">
        <v>0</v>
      </c>
      <c r="L178" s="366"/>
      <c r="M178" s="366"/>
      <c r="N178" s="366"/>
      <c r="O178" s="355"/>
      <c r="P178" s="354"/>
    </row>
    <row r="179" spans="1:16" ht="15.75" thickBot="1">
      <c r="A179" s="132"/>
      <c r="B179" s="110">
        <v>8</v>
      </c>
      <c r="C179" s="139" t="s">
        <v>155</v>
      </c>
      <c r="D179" s="64">
        <v>0</v>
      </c>
      <c r="E179" s="66"/>
      <c r="F179" s="64"/>
      <c r="G179" s="140">
        <v>20000</v>
      </c>
      <c r="H179" s="141">
        <f t="shared" si="31"/>
        <v>20000</v>
      </c>
      <c r="I179" s="190"/>
      <c r="K179" s="356">
        <v>0</v>
      </c>
      <c r="L179" s="362"/>
      <c r="M179" s="362"/>
      <c r="N179" s="362"/>
      <c r="O179" s="357"/>
      <c r="P179" s="354"/>
    </row>
    <row r="180" spans="1:16" ht="27" thickBot="1">
      <c r="A180" s="132"/>
      <c r="B180" s="308" t="s">
        <v>156</v>
      </c>
      <c r="C180" s="230" t="s">
        <v>157</v>
      </c>
      <c r="D180" s="309"/>
      <c r="E180" s="310"/>
      <c r="F180" s="309"/>
      <c r="G180" s="232">
        <v>20000</v>
      </c>
      <c r="H180" s="233">
        <f>+G180</f>
        <v>20000</v>
      </c>
      <c r="I180" s="239">
        <f>+H180</f>
        <v>20000</v>
      </c>
      <c r="J180" s="235"/>
      <c r="K180" s="361">
        <v>0</v>
      </c>
      <c r="L180" s="368">
        <v>0</v>
      </c>
      <c r="M180" s="368">
        <v>0</v>
      </c>
      <c r="N180" s="368">
        <v>0</v>
      </c>
      <c r="O180" s="360">
        <v>0</v>
      </c>
      <c r="P180" s="349">
        <f>+H180-O180</f>
        <v>20000</v>
      </c>
    </row>
    <row r="181" spans="1:16" ht="15.75" thickBot="1">
      <c r="A181" s="132"/>
      <c r="B181" s="308" t="s">
        <v>158</v>
      </c>
      <c r="C181" s="230" t="s">
        <v>159</v>
      </c>
      <c r="D181" s="220"/>
      <c r="E181" s="231"/>
      <c r="F181" s="220"/>
      <c r="G181" s="232">
        <v>300000</v>
      </c>
      <c r="H181" s="233">
        <f>G181</f>
        <v>300000</v>
      </c>
      <c r="I181" s="234">
        <v>350000</v>
      </c>
      <c r="J181" s="235"/>
      <c r="K181" s="348">
        <v>3200</v>
      </c>
      <c r="L181" s="349">
        <v>0</v>
      </c>
      <c r="M181" s="349">
        <v>142489.95</v>
      </c>
      <c r="N181" s="349">
        <f>+O181-K181-L181-M181</f>
        <v>150177.75</v>
      </c>
      <c r="O181" s="349">
        <v>295867.7</v>
      </c>
      <c r="P181" s="389">
        <f>+H181-O181</f>
        <v>4132.299999999988</v>
      </c>
    </row>
    <row r="182" spans="1:16" ht="27" thickBot="1">
      <c r="A182" s="132"/>
      <c r="B182" s="308" t="s">
        <v>160</v>
      </c>
      <c r="C182" s="236" t="s">
        <v>161</v>
      </c>
      <c r="D182" s="237"/>
      <c r="E182" s="238"/>
      <c r="F182" s="237"/>
      <c r="G182" s="228">
        <f>+G183+G184+G185+G186+G187+G188+G189+G190</f>
        <v>456810</v>
      </c>
      <c r="H182" s="229">
        <f aca="true" t="shared" si="32" ref="H182:H190">SUM(G182)</f>
        <v>456810</v>
      </c>
      <c r="I182" s="239">
        <f>+H182</f>
        <v>456810</v>
      </c>
      <c r="J182" s="235"/>
      <c r="K182" s="348">
        <v>9900</v>
      </c>
      <c r="L182" s="369">
        <v>0</v>
      </c>
      <c r="M182" s="369">
        <v>188914</v>
      </c>
      <c r="N182" s="369">
        <f>+O182-K182-L182-M182</f>
        <v>8200</v>
      </c>
      <c r="O182" s="369">
        <v>207014</v>
      </c>
      <c r="P182" s="369">
        <f>+H182-O182</f>
        <v>249796</v>
      </c>
    </row>
    <row r="183" spans="1:16" ht="15">
      <c r="A183" s="132"/>
      <c r="B183" s="85">
        <v>1</v>
      </c>
      <c r="C183" s="133" t="s">
        <v>256</v>
      </c>
      <c r="D183" s="62">
        <v>0</v>
      </c>
      <c r="E183" s="67"/>
      <c r="F183" s="62"/>
      <c r="G183" s="134">
        <v>146810</v>
      </c>
      <c r="H183" s="135">
        <f t="shared" si="32"/>
        <v>146810</v>
      </c>
      <c r="I183" s="187"/>
      <c r="K183" s="302">
        <v>0</v>
      </c>
      <c r="L183" s="353"/>
      <c r="M183" s="353"/>
      <c r="N183" s="354"/>
      <c r="O183" s="354"/>
      <c r="P183" s="354"/>
    </row>
    <row r="184" spans="1:16" ht="15">
      <c r="A184" s="132"/>
      <c r="B184" s="93">
        <v>2</v>
      </c>
      <c r="C184" s="136" t="s">
        <v>257</v>
      </c>
      <c r="D184" s="60">
        <v>0</v>
      </c>
      <c r="E184" s="65"/>
      <c r="F184" s="60"/>
      <c r="G184" s="137">
        <v>20000</v>
      </c>
      <c r="H184" s="138">
        <f t="shared" si="32"/>
        <v>20000</v>
      </c>
      <c r="I184" s="188"/>
      <c r="K184" s="303">
        <v>0</v>
      </c>
      <c r="L184" s="366"/>
      <c r="M184" s="366"/>
      <c r="N184" s="366"/>
      <c r="O184" s="355"/>
      <c r="P184" s="354"/>
    </row>
    <row r="185" spans="1:16" ht="15">
      <c r="A185" s="132"/>
      <c r="B185" s="93">
        <v>3</v>
      </c>
      <c r="C185" s="136" t="s">
        <v>258</v>
      </c>
      <c r="D185" s="60">
        <v>0</v>
      </c>
      <c r="E185" s="65"/>
      <c r="F185" s="60"/>
      <c r="G185" s="137">
        <v>70000</v>
      </c>
      <c r="H185" s="138">
        <f t="shared" si="32"/>
        <v>70000</v>
      </c>
      <c r="I185" s="188"/>
      <c r="K185" s="303">
        <v>0</v>
      </c>
      <c r="L185" s="366"/>
      <c r="M185" s="366"/>
      <c r="N185" s="366"/>
      <c r="O185" s="355"/>
      <c r="P185" s="354"/>
    </row>
    <row r="186" spans="1:16" ht="15">
      <c r="A186" s="132"/>
      <c r="B186" s="93">
        <v>4</v>
      </c>
      <c r="C186" s="136" t="s">
        <v>259</v>
      </c>
      <c r="D186" s="60">
        <v>0</v>
      </c>
      <c r="E186" s="65"/>
      <c r="F186" s="60"/>
      <c r="G186" s="137">
        <v>80000</v>
      </c>
      <c r="H186" s="138">
        <f t="shared" si="32"/>
        <v>80000</v>
      </c>
      <c r="I186" s="188"/>
      <c r="K186" s="303">
        <v>0</v>
      </c>
      <c r="L186" s="366"/>
      <c r="M186" s="366"/>
      <c r="N186" s="366"/>
      <c r="O186" s="355"/>
      <c r="P186" s="354"/>
    </row>
    <row r="187" spans="1:16" ht="15">
      <c r="A187" s="132"/>
      <c r="B187" s="93">
        <v>5</v>
      </c>
      <c r="C187" s="136" t="s">
        <v>260</v>
      </c>
      <c r="D187" s="60">
        <v>0</v>
      </c>
      <c r="E187" s="65"/>
      <c r="F187" s="60"/>
      <c r="G187" s="137">
        <v>20000</v>
      </c>
      <c r="H187" s="138">
        <f t="shared" si="32"/>
        <v>20000</v>
      </c>
      <c r="I187" s="188"/>
      <c r="K187" s="303">
        <v>0</v>
      </c>
      <c r="L187" s="366"/>
      <c r="M187" s="366"/>
      <c r="N187" s="366"/>
      <c r="O187" s="355"/>
      <c r="P187" s="354"/>
    </row>
    <row r="188" spans="1:16" ht="15">
      <c r="A188" s="132"/>
      <c r="B188" s="93">
        <v>6</v>
      </c>
      <c r="C188" s="136" t="s">
        <v>261</v>
      </c>
      <c r="D188" s="60">
        <v>0</v>
      </c>
      <c r="E188" s="65"/>
      <c r="F188" s="60"/>
      <c r="G188" s="137">
        <v>50000</v>
      </c>
      <c r="H188" s="138">
        <f t="shared" si="32"/>
        <v>50000</v>
      </c>
      <c r="I188" s="188"/>
      <c r="K188" s="303">
        <v>0</v>
      </c>
      <c r="L188" s="366"/>
      <c r="M188" s="366"/>
      <c r="N188" s="366"/>
      <c r="O188" s="355"/>
      <c r="P188" s="354"/>
    </row>
    <row r="189" spans="1:16" ht="15">
      <c r="A189" s="132"/>
      <c r="B189" s="93">
        <v>7</v>
      </c>
      <c r="C189" s="136" t="s">
        <v>262</v>
      </c>
      <c r="D189" s="60">
        <v>0</v>
      </c>
      <c r="E189" s="65"/>
      <c r="F189" s="60"/>
      <c r="G189" s="137">
        <v>50000</v>
      </c>
      <c r="H189" s="138">
        <f t="shared" si="32"/>
        <v>50000</v>
      </c>
      <c r="I189" s="188"/>
      <c r="K189" s="303">
        <v>0</v>
      </c>
      <c r="L189" s="366"/>
      <c r="M189" s="366"/>
      <c r="N189" s="366"/>
      <c r="O189" s="355"/>
      <c r="P189" s="354"/>
    </row>
    <row r="190" spans="1:16" ht="15.75" thickBot="1">
      <c r="A190" s="132"/>
      <c r="B190" s="93">
        <v>8</v>
      </c>
      <c r="C190" s="136" t="s">
        <v>263</v>
      </c>
      <c r="D190" s="60">
        <v>0</v>
      </c>
      <c r="E190" s="65"/>
      <c r="F190" s="60"/>
      <c r="G190" s="137">
        <v>20000</v>
      </c>
      <c r="H190" s="138">
        <f t="shared" si="32"/>
        <v>20000</v>
      </c>
      <c r="I190" s="188"/>
      <c r="K190" s="356">
        <v>0</v>
      </c>
      <c r="L190" s="362"/>
      <c r="M190" s="362"/>
      <c r="N190" s="362"/>
      <c r="O190" s="357"/>
      <c r="P190" s="354"/>
    </row>
    <row r="191" spans="1:16" ht="15.75" thickBot="1">
      <c r="A191" s="144" t="s">
        <v>162</v>
      </c>
      <c r="B191" s="278" t="s">
        <v>163</v>
      </c>
      <c r="C191" s="279"/>
      <c r="D191" s="280">
        <f>+D192+D194+D223</f>
        <v>2010298</v>
      </c>
      <c r="E191" s="281">
        <f>+E192+E194</f>
        <v>5895952</v>
      </c>
      <c r="F191" s="280"/>
      <c r="G191" s="272">
        <f>+G194+G229+G243</f>
        <v>2430000</v>
      </c>
      <c r="H191" s="282">
        <f>SUM(D191:G191)</f>
        <v>10336250</v>
      </c>
      <c r="I191" s="257">
        <f>+I192+I194+I223+I229+I243</f>
        <v>10136250</v>
      </c>
      <c r="J191" s="263"/>
      <c r="K191" s="346">
        <v>1896813.9699999997</v>
      </c>
      <c r="L191" s="347">
        <v>2270050.0100000002</v>
      </c>
      <c r="M191" s="347">
        <v>2229693.6700000004</v>
      </c>
      <c r="N191" s="347">
        <f>+N192+N194+N223+N229+N243</f>
        <v>2718654.0599999996</v>
      </c>
      <c r="O191" s="347">
        <f>+O192+O194+O223+O229+O243</f>
        <v>9115211.709999999</v>
      </c>
      <c r="P191" s="347">
        <f>+P192+P194+P223+P229+P243</f>
        <v>1221038.2899999998</v>
      </c>
    </row>
    <row r="192" spans="1:16" ht="15.75" thickBot="1">
      <c r="A192" s="145"/>
      <c r="B192" s="242" t="s">
        <v>164</v>
      </c>
      <c r="C192" s="223" t="s">
        <v>183</v>
      </c>
      <c r="D192" s="224">
        <f>+D193</f>
        <v>1248401</v>
      </c>
      <c r="E192" s="286">
        <f>+E193</f>
        <v>5418599</v>
      </c>
      <c r="F192" s="224"/>
      <c r="G192" s="286">
        <v>0</v>
      </c>
      <c r="H192" s="287">
        <f>+D192+E192</f>
        <v>6667000</v>
      </c>
      <c r="I192" s="185">
        <f>+I193</f>
        <v>6437000</v>
      </c>
      <c r="J192" s="179">
        <f>+D192+D194+D223</f>
        <v>2010298</v>
      </c>
      <c r="K192" s="348">
        <v>1606015.4</v>
      </c>
      <c r="L192" s="349">
        <v>1692380.37</v>
      </c>
      <c r="M192" s="349">
        <v>1669286.6400000001</v>
      </c>
      <c r="N192" s="349">
        <f>+N193</f>
        <v>1651474.7599999993</v>
      </c>
      <c r="O192" s="349">
        <f>+O193</f>
        <v>6619157.17</v>
      </c>
      <c r="P192" s="349">
        <f>+P193</f>
        <v>47842.830000000075</v>
      </c>
    </row>
    <row r="193" spans="1:16" ht="15.75" thickBot="1">
      <c r="A193" s="132"/>
      <c r="B193" s="146">
        <v>1</v>
      </c>
      <c r="C193" s="86" t="s">
        <v>59</v>
      </c>
      <c r="D193" s="142">
        <v>1248401</v>
      </c>
      <c r="E193" s="147">
        <v>5418599</v>
      </c>
      <c r="F193" s="142"/>
      <c r="G193" s="143">
        <v>0</v>
      </c>
      <c r="H193" s="135">
        <f>+D193+E193</f>
        <v>6667000</v>
      </c>
      <c r="I193" s="184">
        <v>6437000</v>
      </c>
      <c r="J193" s="179">
        <f>+E192+E194</f>
        <v>5895952</v>
      </c>
      <c r="K193" s="370">
        <v>1606015.4</v>
      </c>
      <c r="L193" s="371">
        <v>1692380.37</v>
      </c>
      <c r="M193" s="371">
        <v>1669286.6400000001</v>
      </c>
      <c r="N193" s="372">
        <f>+O193-K193-L193-M193</f>
        <v>1651474.7599999993</v>
      </c>
      <c r="O193" s="372">
        <v>6619157.17</v>
      </c>
      <c r="P193" s="391">
        <f>+H193-O193</f>
        <v>47842.830000000075</v>
      </c>
    </row>
    <row r="194" spans="1:16" ht="15.75" thickBot="1">
      <c r="A194" s="132"/>
      <c r="B194" s="242" t="s">
        <v>165</v>
      </c>
      <c r="C194" s="223" t="s">
        <v>166</v>
      </c>
      <c r="D194" s="222">
        <f>+D195+D196+D197+D198+D199+D200+D201+D202+D203+D204+D205+D206+D207+D208+D209+D210+D211+D212+D213+D214+D215+D216+D217+D218+D219+D220+D221+D222</f>
        <v>433897</v>
      </c>
      <c r="E194" s="245">
        <f>+E195+E196+E197+E198+E199+E200+E201+E204+E206+E207+E208+E214+E215+E216</f>
        <v>477353</v>
      </c>
      <c r="F194" s="246"/>
      <c r="G194" s="245">
        <f>+G196+G204+G206+G214</f>
        <v>300000</v>
      </c>
      <c r="H194" s="222">
        <f>+D194+E194+G194</f>
        <v>1211250</v>
      </c>
      <c r="I194" s="185">
        <f>+I195+I196+I197+I198+I199+I200+I201+I202+I203+I204+I205+I206+I207+I208+I209+I210+I211+I212+I213+I214+I215+I216+I217+I218+I219+I220+I221+I222</f>
        <v>1211250</v>
      </c>
      <c r="J194" s="179">
        <f>+G194+G229+G243</f>
        <v>2430000</v>
      </c>
      <c r="K194" s="348">
        <v>197804.41</v>
      </c>
      <c r="L194" s="349">
        <v>213408.11000000002</v>
      </c>
      <c r="M194" s="349">
        <v>274815.43000000005</v>
      </c>
      <c r="N194" s="349">
        <f>+O194-M194-L194-K194</f>
        <v>494009.0000000001</v>
      </c>
      <c r="O194" s="349">
        <f>+O195+O196+O197+O198+O199+O200+O201+O202+O203+O204+O205+O206+O207+O208+O209+O210+O211+O212+O213+O214+O215+O216+O217+O218+O219+O220+O221+O222</f>
        <v>1180036.9500000002</v>
      </c>
      <c r="P194" s="349">
        <f>+H194-O194</f>
        <v>31213.049999999814</v>
      </c>
    </row>
    <row r="195" spans="1:16" ht="15">
      <c r="A195" s="132"/>
      <c r="B195" s="85">
        <v>1</v>
      </c>
      <c r="C195" s="94" t="s">
        <v>63</v>
      </c>
      <c r="D195" s="135">
        <v>34750</v>
      </c>
      <c r="E195" s="89">
        <v>20000</v>
      </c>
      <c r="F195" s="59"/>
      <c r="G195" s="89">
        <v>0</v>
      </c>
      <c r="H195" s="148">
        <f aca="true" t="shared" si="33" ref="H195:H222">SUM(D195:G195)</f>
        <v>54750</v>
      </c>
      <c r="I195" s="191">
        <v>54750</v>
      </c>
      <c r="J195" s="179">
        <f>SUM(J192:J194)</f>
        <v>10336250</v>
      </c>
      <c r="K195" s="302">
        <v>1187.41</v>
      </c>
      <c r="L195" s="353">
        <v>2734.3599999999997</v>
      </c>
      <c r="M195" s="353">
        <v>2274.4000000000005</v>
      </c>
      <c r="N195" s="354">
        <f>+O195-M195-L195-K195</f>
        <v>25732.899999999998</v>
      </c>
      <c r="O195" s="354">
        <v>31929.07</v>
      </c>
      <c r="P195" s="387">
        <f>+H195-O195</f>
        <v>22820.93</v>
      </c>
    </row>
    <row r="196" spans="1:16" ht="15">
      <c r="A196" s="132"/>
      <c r="B196" s="93">
        <v>2</v>
      </c>
      <c r="C196" s="94" t="s">
        <v>167</v>
      </c>
      <c r="D196" s="149">
        <v>0</v>
      </c>
      <c r="E196" s="65">
        <v>45000</v>
      </c>
      <c r="F196" s="60"/>
      <c r="G196" s="65">
        <v>50000</v>
      </c>
      <c r="H196" s="149">
        <f t="shared" si="33"/>
        <v>95000</v>
      </c>
      <c r="I196" s="192">
        <v>95000</v>
      </c>
      <c r="K196" s="303">
        <v>8551.25</v>
      </c>
      <c r="L196" s="353">
        <v>58981.44</v>
      </c>
      <c r="M196" s="354">
        <v>22639.309999999998</v>
      </c>
      <c r="N196" s="387">
        <f aca="true" t="shared" si="34" ref="N196:N222">+O196-M196-L196-K196</f>
        <v>4353</v>
      </c>
      <c r="O196" s="355">
        <v>94525</v>
      </c>
      <c r="P196" s="387">
        <f aca="true" t="shared" si="35" ref="P196:P222">+H196-O196</f>
        <v>475</v>
      </c>
    </row>
    <row r="197" spans="1:16" ht="15">
      <c r="A197" s="132"/>
      <c r="B197" s="93">
        <v>3</v>
      </c>
      <c r="C197" s="94" t="s">
        <v>264</v>
      </c>
      <c r="D197" s="149">
        <v>55000</v>
      </c>
      <c r="E197" s="65">
        <v>20000</v>
      </c>
      <c r="F197" s="60"/>
      <c r="G197" s="65">
        <v>0</v>
      </c>
      <c r="H197" s="149">
        <f t="shared" si="33"/>
        <v>75000</v>
      </c>
      <c r="I197" s="192">
        <v>75000</v>
      </c>
      <c r="K197" s="303">
        <v>1961.2</v>
      </c>
      <c r="L197" s="353">
        <v>0</v>
      </c>
      <c r="M197" s="354">
        <v>39288.8</v>
      </c>
      <c r="N197" s="387">
        <f t="shared" si="34"/>
        <v>15207.999999999996</v>
      </c>
      <c r="O197" s="355">
        <v>56458</v>
      </c>
      <c r="P197" s="387">
        <f t="shared" si="35"/>
        <v>18542</v>
      </c>
    </row>
    <row r="198" spans="1:16" ht="15">
      <c r="A198" s="132"/>
      <c r="B198" s="93">
        <v>4</v>
      </c>
      <c r="C198" s="94" t="s">
        <v>168</v>
      </c>
      <c r="D198" s="149">
        <v>55000</v>
      </c>
      <c r="E198" s="65">
        <v>20000</v>
      </c>
      <c r="F198" s="60"/>
      <c r="G198" s="65">
        <v>0</v>
      </c>
      <c r="H198" s="149">
        <f t="shared" si="33"/>
        <v>75000</v>
      </c>
      <c r="I198" s="192">
        <v>75000</v>
      </c>
      <c r="K198" s="303">
        <v>0</v>
      </c>
      <c r="L198" s="353">
        <v>0</v>
      </c>
      <c r="M198" s="354">
        <v>36568</v>
      </c>
      <c r="N198" s="387">
        <f t="shared" si="34"/>
        <v>34690</v>
      </c>
      <c r="O198" s="355">
        <v>71258</v>
      </c>
      <c r="P198" s="387">
        <f t="shared" si="35"/>
        <v>3742</v>
      </c>
    </row>
    <row r="199" spans="1:16" ht="15">
      <c r="A199" s="132"/>
      <c r="B199" s="93">
        <v>5</v>
      </c>
      <c r="C199" s="94" t="s">
        <v>169</v>
      </c>
      <c r="D199" s="149">
        <v>10000</v>
      </c>
      <c r="E199" s="65">
        <v>5000</v>
      </c>
      <c r="F199" s="60"/>
      <c r="G199" s="65">
        <v>0</v>
      </c>
      <c r="H199" s="149">
        <f t="shared" si="33"/>
        <v>15000</v>
      </c>
      <c r="I199" s="192">
        <v>15000</v>
      </c>
      <c r="K199" s="303">
        <v>0</v>
      </c>
      <c r="L199" s="353">
        <v>0</v>
      </c>
      <c r="M199" s="354">
        <v>6589</v>
      </c>
      <c r="N199" s="387">
        <f t="shared" si="34"/>
        <v>5569</v>
      </c>
      <c r="O199" s="355">
        <v>12158</v>
      </c>
      <c r="P199" s="387">
        <f t="shared" si="35"/>
        <v>2842</v>
      </c>
    </row>
    <row r="200" spans="1:16" ht="15">
      <c r="A200" s="132"/>
      <c r="B200" s="93">
        <v>6</v>
      </c>
      <c r="C200" s="94" t="s">
        <v>64</v>
      </c>
      <c r="D200" s="149">
        <v>15000</v>
      </c>
      <c r="E200" s="65">
        <v>10000</v>
      </c>
      <c r="F200" s="60"/>
      <c r="G200" s="65">
        <v>0</v>
      </c>
      <c r="H200" s="149">
        <f t="shared" si="33"/>
        <v>25000</v>
      </c>
      <c r="I200" s="192">
        <v>25000</v>
      </c>
      <c r="K200" s="303">
        <v>0</v>
      </c>
      <c r="L200" s="353">
        <v>6826.97</v>
      </c>
      <c r="M200" s="354">
        <v>997</v>
      </c>
      <c r="N200" s="387">
        <f t="shared" si="34"/>
        <v>12784</v>
      </c>
      <c r="O200" s="355">
        <v>20607.97</v>
      </c>
      <c r="P200" s="387">
        <f t="shared" si="35"/>
        <v>4392.029999999999</v>
      </c>
    </row>
    <row r="201" spans="1:16" ht="15">
      <c r="A201" s="132"/>
      <c r="B201" s="93">
        <v>7</v>
      </c>
      <c r="C201" s="94" t="s">
        <v>65</v>
      </c>
      <c r="D201" s="149">
        <v>30000</v>
      </c>
      <c r="E201" s="65">
        <v>10000</v>
      </c>
      <c r="F201" s="60"/>
      <c r="G201" s="65">
        <v>0</v>
      </c>
      <c r="H201" s="149">
        <f t="shared" si="33"/>
        <v>40000</v>
      </c>
      <c r="I201" s="192">
        <v>40000</v>
      </c>
      <c r="K201" s="303">
        <v>0</v>
      </c>
      <c r="L201" s="353">
        <v>1964.5</v>
      </c>
      <c r="M201" s="354">
        <v>0</v>
      </c>
      <c r="N201" s="387">
        <f t="shared" si="34"/>
        <v>27603.5</v>
      </c>
      <c r="O201" s="355">
        <v>29568</v>
      </c>
      <c r="P201" s="387">
        <f t="shared" si="35"/>
        <v>10432</v>
      </c>
    </row>
    <row r="202" spans="1:16" ht="15">
      <c r="A202" s="132"/>
      <c r="B202" s="93">
        <v>8</v>
      </c>
      <c r="C202" s="94" t="s">
        <v>77</v>
      </c>
      <c r="D202" s="149">
        <v>1000</v>
      </c>
      <c r="E202" s="65">
        <v>0</v>
      </c>
      <c r="F202" s="60"/>
      <c r="G202" s="65">
        <v>0</v>
      </c>
      <c r="H202" s="149">
        <f t="shared" si="33"/>
        <v>1000</v>
      </c>
      <c r="I202" s="192">
        <v>1000</v>
      </c>
      <c r="K202" s="303">
        <v>860.36</v>
      </c>
      <c r="L202" s="353">
        <v>0</v>
      </c>
      <c r="M202" s="201">
        <v>0</v>
      </c>
      <c r="N202" s="201">
        <f t="shared" si="34"/>
        <v>0</v>
      </c>
      <c r="O202" s="355">
        <v>860.36</v>
      </c>
      <c r="P202" s="387">
        <f t="shared" si="35"/>
        <v>139.64</v>
      </c>
    </row>
    <row r="203" spans="1:16" ht="15">
      <c r="A203" s="132"/>
      <c r="B203" s="93">
        <v>9</v>
      </c>
      <c r="C203" s="94" t="s">
        <v>265</v>
      </c>
      <c r="D203" s="97">
        <v>2000</v>
      </c>
      <c r="E203" s="66">
        <v>0</v>
      </c>
      <c r="F203" s="64"/>
      <c r="G203" s="66">
        <v>0</v>
      </c>
      <c r="H203" s="97">
        <f t="shared" si="33"/>
        <v>2000</v>
      </c>
      <c r="I203" s="192">
        <v>2000</v>
      </c>
      <c r="K203" s="303">
        <v>226.6</v>
      </c>
      <c r="L203" s="353">
        <v>0</v>
      </c>
      <c r="M203" s="201">
        <v>0</v>
      </c>
      <c r="N203" s="387">
        <f t="shared" si="34"/>
        <v>1723.4</v>
      </c>
      <c r="O203" s="355">
        <v>1950</v>
      </c>
      <c r="P203" s="387">
        <f t="shared" si="35"/>
        <v>50</v>
      </c>
    </row>
    <row r="204" spans="1:16" ht="15">
      <c r="A204" s="132"/>
      <c r="B204" s="93">
        <v>10</v>
      </c>
      <c r="C204" s="94" t="s">
        <v>80</v>
      </c>
      <c r="D204" s="138">
        <v>65647</v>
      </c>
      <c r="E204" s="53">
        <v>138353</v>
      </c>
      <c r="F204" s="54"/>
      <c r="G204" s="150">
        <v>100000</v>
      </c>
      <c r="H204" s="138">
        <f t="shared" si="33"/>
        <v>304000</v>
      </c>
      <c r="I204" s="192">
        <v>304000</v>
      </c>
      <c r="K204" s="303">
        <v>57456.03</v>
      </c>
      <c r="L204" s="353">
        <v>59810.43000000001</v>
      </c>
      <c r="M204" s="354">
        <v>64759.46000000001</v>
      </c>
      <c r="N204" s="387">
        <f t="shared" si="34"/>
        <v>151562.05999999997</v>
      </c>
      <c r="O204" s="355">
        <v>333587.98</v>
      </c>
      <c r="P204" s="387">
        <f t="shared" si="35"/>
        <v>-29587.97999999998</v>
      </c>
    </row>
    <row r="205" spans="1:16" ht="15">
      <c r="A205" s="132"/>
      <c r="B205" s="93">
        <v>11</v>
      </c>
      <c r="C205" s="94" t="s">
        <v>266</v>
      </c>
      <c r="D205" s="149">
        <v>4000</v>
      </c>
      <c r="E205" s="56">
        <v>0</v>
      </c>
      <c r="F205" s="55"/>
      <c r="G205" s="151">
        <v>0</v>
      </c>
      <c r="H205" s="149">
        <f t="shared" si="33"/>
        <v>4000</v>
      </c>
      <c r="I205" s="192">
        <v>4000</v>
      </c>
      <c r="K205" s="303">
        <v>0</v>
      </c>
      <c r="L205" s="353">
        <v>0</v>
      </c>
      <c r="M205" s="354">
        <v>0</v>
      </c>
      <c r="N205" s="387">
        <f t="shared" si="34"/>
        <v>0</v>
      </c>
      <c r="O205" s="355">
        <v>0</v>
      </c>
      <c r="P205" s="387">
        <f t="shared" si="35"/>
        <v>4000</v>
      </c>
    </row>
    <row r="206" spans="1:16" ht="15">
      <c r="A206" s="132"/>
      <c r="B206" s="93">
        <v>12</v>
      </c>
      <c r="C206" s="94" t="s">
        <v>87</v>
      </c>
      <c r="D206" s="149">
        <v>10000</v>
      </c>
      <c r="E206" s="53">
        <v>55000</v>
      </c>
      <c r="F206" s="54"/>
      <c r="G206" s="53">
        <v>50000</v>
      </c>
      <c r="H206" s="149">
        <f t="shared" si="33"/>
        <v>115000</v>
      </c>
      <c r="I206" s="192">
        <v>115000</v>
      </c>
      <c r="K206" s="303">
        <v>28530.15</v>
      </c>
      <c r="L206" s="353">
        <v>4935.82</v>
      </c>
      <c r="M206" s="354">
        <v>24099.03</v>
      </c>
      <c r="N206" s="387">
        <f t="shared" si="34"/>
        <v>1731.7900000000009</v>
      </c>
      <c r="O206" s="355">
        <f>59296.79</f>
        <v>59296.79</v>
      </c>
      <c r="P206" s="387">
        <f t="shared" si="35"/>
        <v>55703.21</v>
      </c>
    </row>
    <row r="207" spans="1:16" ht="15">
      <c r="A207" s="132"/>
      <c r="B207" s="93">
        <v>13</v>
      </c>
      <c r="C207" s="94" t="s">
        <v>88</v>
      </c>
      <c r="D207" s="149">
        <v>35000</v>
      </c>
      <c r="E207" s="53">
        <v>10000</v>
      </c>
      <c r="F207" s="54"/>
      <c r="G207" s="53">
        <v>0</v>
      </c>
      <c r="H207" s="149">
        <f t="shared" si="33"/>
        <v>45000</v>
      </c>
      <c r="I207" s="192">
        <v>45000</v>
      </c>
      <c r="K207" s="303">
        <v>3787.49</v>
      </c>
      <c r="L207" s="353">
        <v>0</v>
      </c>
      <c r="M207" s="354">
        <v>35812.96</v>
      </c>
      <c r="N207" s="387">
        <f t="shared" si="34"/>
        <v>3792.060000000003</v>
      </c>
      <c r="O207" s="355">
        <v>43392.51</v>
      </c>
      <c r="P207" s="387">
        <f t="shared" si="35"/>
        <v>1607.489999999998</v>
      </c>
    </row>
    <row r="208" spans="1:16" ht="15">
      <c r="A208" s="132"/>
      <c r="B208" s="93">
        <v>14</v>
      </c>
      <c r="C208" s="94" t="s">
        <v>204</v>
      </c>
      <c r="D208" s="149">
        <v>15000</v>
      </c>
      <c r="E208" s="53">
        <v>10000</v>
      </c>
      <c r="F208" s="54"/>
      <c r="G208" s="53">
        <v>0</v>
      </c>
      <c r="H208" s="149">
        <f t="shared" si="33"/>
        <v>25000</v>
      </c>
      <c r="I208" s="192">
        <v>25000</v>
      </c>
      <c r="K208" s="303">
        <v>0</v>
      </c>
      <c r="L208" s="353">
        <v>1852.6</v>
      </c>
      <c r="M208" s="354">
        <v>0</v>
      </c>
      <c r="N208" s="387">
        <f t="shared" si="34"/>
        <v>327.5</v>
      </c>
      <c r="O208" s="355">
        <v>2180.1</v>
      </c>
      <c r="P208" s="387">
        <f t="shared" si="35"/>
        <v>22819.9</v>
      </c>
    </row>
    <row r="209" spans="1:16" ht="15">
      <c r="A209" s="132"/>
      <c r="B209" s="93">
        <v>15</v>
      </c>
      <c r="C209" s="94" t="s">
        <v>91</v>
      </c>
      <c r="D209" s="149">
        <v>5500</v>
      </c>
      <c r="E209" s="53">
        <v>0</v>
      </c>
      <c r="F209" s="54"/>
      <c r="G209" s="53">
        <v>0</v>
      </c>
      <c r="H209" s="149">
        <f t="shared" si="33"/>
        <v>5500</v>
      </c>
      <c r="I209" s="192">
        <v>5500</v>
      </c>
      <c r="K209" s="303">
        <v>1220</v>
      </c>
      <c r="L209" s="353">
        <v>1305</v>
      </c>
      <c r="M209" s="354">
        <v>430</v>
      </c>
      <c r="N209" s="387">
        <f t="shared" si="34"/>
        <v>1296</v>
      </c>
      <c r="O209" s="355">
        <v>4251</v>
      </c>
      <c r="P209" s="387">
        <f t="shared" si="35"/>
        <v>1249</v>
      </c>
    </row>
    <row r="210" spans="1:16" ht="15">
      <c r="A210" s="132"/>
      <c r="B210" s="93">
        <v>16</v>
      </c>
      <c r="C210" s="94" t="s">
        <v>92</v>
      </c>
      <c r="D210" s="149">
        <v>6000</v>
      </c>
      <c r="E210" s="53">
        <v>0</v>
      </c>
      <c r="F210" s="54"/>
      <c r="G210" s="53">
        <v>0</v>
      </c>
      <c r="H210" s="149">
        <f t="shared" si="33"/>
        <v>6000</v>
      </c>
      <c r="I210" s="192">
        <v>6000</v>
      </c>
      <c r="K210" s="303">
        <v>1537.07</v>
      </c>
      <c r="L210" s="353">
        <v>4322.570000000001</v>
      </c>
      <c r="M210" s="354">
        <v>2111.3899999999994</v>
      </c>
      <c r="N210" s="387">
        <f t="shared" si="34"/>
        <v>3249.45</v>
      </c>
      <c r="O210" s="355">
        <v>11220.48</v>
      </c>
      <c r="P210" s="387">
        <f t="shared" si="35"/>
        <v>-5220.48</v>
      </c>
    </row>
    <row r="211" spans="1:16" ht="15">
      <c r="A211" s="132"/>
      <c r="B211" s="93">
        <v>17</v>
      </c>
      <c r="C211" s="94" t="s">
        <v>97</v>
      </c>
      <c r="D211" s="149">
        <v>1000</v>
      </c>
      <c r="E211" s="53">
        <v>0</v>
      </c>
      <c r="F211" s="54"/>
      <c r="G211" s="53">
        <v>0</v>
      </c>
      <c r="H211" s="149">
        <f t="shared" si="33"/>
        <v>1000</v>
      </c>
      <c r="I211" s="192">
        <v>1000</v>
      </c>
      <c r="K211" s="303">
        <v>0</v>
      </c>
      <c r="L211" s="353">
        <v>0</v>
      </c>
      <c r="M211" s="354">
        <v>0</v>
      </c>
      <c r="N211" s="387">
        <f t="shared" si="34"/>
        <v>29049.65</v>
      </c>
      <c r="O211" s="355">
        <f>747.5+28302.15</f>
        <v>29049.65</v>
      </c>
      <c r="P211" s="387">
        <f t="shared" si="35"/>
        <v>-28049.65</v>
      </c>
    </row>
    <row r="212" spans="1:16" ht="15">
      <c r="A212" s="132"/>
      <c r="B212" s="93">
        <v>18</v>
      </c>
      <c r="C212" s="94" t="s">
        <v>170</v>
      </c>
      <c r="D212" s="149">
        <v>500</v>
      </c>
      <c r="E212" s="53">
        <v>0</v>
      </c>
      <c r="F212" s="54"/>
      <c r="G212" s="53">
        <v>0</v>
      </c>
      <c r="H212" s="149">
        <f t="shared" si="33"/>
        <v>500</v>
      </c>
      <c r="I212" s="192">
        <v>500</v>
      </c>
      <c r="K212" s="303">
        <v>0</v>
      </c>
      <c r="L212" s="353">
        <v>0</v>
      </c>
      <c r="M212" s="354">
        <v>0</v>
      </c>
      <c r="N212" s="387">
        <f t="shared" si="34"/>
        <v>0</v>
      </c>
      <c r="O212" s="355">
        <v>0</v>
      </c>
      <c r="P212" s="387">
        <f t="shared" si="35"/>
        <v>500</v>
      </c>
    </row>
    <row r="213" spans="1:16" ht="15">
      <c r="A213" s="132"/>
      <c r="B213" s="93">
        <v>19</v>
      </c>
      <c r="C213" s="94" t="s">
        <v>114</v>
      </c>
      <c r="D213" s="149">
        <v>15000</v>
      </c>
      <c r="E213" s="53">
        <v>0</v>
      </c>
      <c r="F213" s="54"/>
      <c r="G213" s="53">
        <v>0</v>
      </c>
      <c r="H213" s="149">
        <f t="shared" si="33"/>
        <v>15000</v>
      </c>
      <c r="I213" s="192">
        <v>15000</v>
      </c>
      <c r="K213" s="303">
        <v>1404.07</v>
      </c>
      <c r="L213" s="353">
        <v>5045.610000000001</v>
      </c>
      <c r="M213" s="354">
        <v>5319.459999999999</v>
      </c>
      <c r="N213" s="387">
        <f t="shared" si="34"/>
        <v>9400.810000000001</v>
      </c>
      <c r="O213" s="355">
        <v>21169.95</v>
      </c>
      <c r="P213" s="387">
        <f t="shared" si="35"/>
        <v>-6169.950000000001</v>
      </c>
    </row>
    <row r="214" spans="1:16" ht="15">
      <c r="A214" s="132"/>
      <c r="B214" s="93">
        <v>20</v>
      </c>
      <c r="C214" s="94" t="s">
        <v>171</v>
      </c>
      <c r="D214" s="149">
        <v>20000</v>
      </c>
      <c r="E214" s="53">
        <v>90000</v>
      </c>
      <c r="F214" s="54"/>
      <c r="G214" s="53">
        <v>100000</v>
      </c>
      <c r="H214" s="149">
        <f t="shared" si="33"/>
        <v>210000</v>
      </c>
      <c r="I214" s="192">
        <v>210000</v>
      </c>
      <c r="K214" s="303">
        <v>60320.78</v>
      </c>
      <c r="L214" s="353">
        <v>51684.740000000005</v>
      </c>
      <c r="M214" s="354">
        <v>13683.479999999996</v>
      </c>
      <c r="N214" s="387">
        <f t="shared" si="34"/>
        <v>79721.6</v>
      </c>
      <c r="O214" s="355">
        <f>8928.2+1484+194998.4</f>
        <v>205410.6</v>
      </c>
      <c r="P214" s="387">
        <f t="shared" si="35"/>
        <v>4589.399999999994</v>
      </c>
    </row>
    <row r="215" spans="1:16" ht="15">
      <c r="A215" s="132"/>
      <c r="B215" s="152">
        <v>21</v>
      </c>
      <c r="C215" s="94" t="s">
        <v>267</v>
      </c>
      <c r="D215" s="97">
        <v>20000</v>
      </c>
      <c r="E215" s="153">
        <v>39000</v>
      </c>
      <c r="F215" s="154"/>
      <c r="G215" s="153">
        <v>0</v>
      </c>
      <c r="H215" s="97">
        <f t="shared" si="33"/>
        <v>59000</v>
      </c>
      <c r="I215" s="193">
        <v>59000</v>
      </c>
      <c r="K215" s="303">
        <v>21114</v>
      </c>
      <c r="L215" s="353">
        <v>13442.470000000001</v>
      </c>
      <c r="M215" s="354">
        <v>12388.080000000002</v>
      </c>
      <c r="N215" s="387">
        <f t="shared" si="34"/>
        <v>68994.3</v>
      </c>
      <c r="O215" s="355">
        <v>115938.85</v>
      </c>
      <c r="P215" s="387">
        <f t="shared" si="35"/>
        <v>-56938.850000000006</v>
      </c>
    </row>
    <row r="216" spans="1:16" ht="15">
      <c r="A216" s="132"/>
      <c r="B216" s="93">
        <v>22</v>
      </c>
      <c r="C216" s="94" t="s">
        <v>268</v>
      </c>
      <c r="D216" s="138">
        <v>10000</v>
      </c>
      <c r="E216" s="53">
        <v>5000</v>
      </c>
      <c r="F216" s="54"/>
      <c r="G216" s="53">
        <v>0</v>
      </c>
      <c r="H216" s="138">
        <f t="shared" si="33"/>
        <v>15000</v>
      </c>
      <c r="I216" s="192">
        <v>15000</v>
      </c>
      <c r="K216" s="303">
        <v>0</v>
      </c>
      <c r="L216" s="353">
        <v>0</v>
      </c>
      <c r="M216" s="354">
        <v>4285.36</v>
      </c>
      <c r="N216" s="387">
        <f t="shared" si="34"/>
        <v>3357.3600000000006</v>
      </c>
      <c r="O216" s="355">
        <v>7642.72</v>
      </c>
      <c r="P216" s="387">
        <f t="shared" si="35"/>
        <v>7357.28</v>
      </c>
    </row>
    <row r="217" spans="1:16" ht="15">
      <c r="A217" s="132"/>
      <c r="B217" s="93">
        <v>23</v>
      </c>
      <c r="C217" s="94" t="s">
        <v>269</v>
      </c>
      <c r="D217" s="138">
        <v>1500</v>
      </c>
      <c r="E217" s="53">
        <v>0</v>
      </c>
      <c r="F217" s="54"/>
      <c r="G217" s="53">
        <v>0</v>
      </c>
      <c r="H217" s="138">
        <f t="shared" si="33"/>
        <v>1500</v>
      </c>
      <c r="I217" s="192">
        <v>1500</v>
      </c>
      <c r="K217" s="303">
        <v>0</v>
      </c>
      <c r="L217" s="353">
        <v>0</v>
      </c>
      <c r="M217" s="354">
        <v>0</v>
      </c>
      <c r="N217" s="387">
        <f t="shared" si="34"/>
        <v>743.52</v>
      </c>
      <c r="O217" s="355">
        <v>743.52</v>
      </c>
      <c r="P217" s="387">
        <f t="shared" si="35"/>
        <v>756.48</v>
      </c>
    </row>
    <row r="218" spans="1:16" ht="15">
      <c r="A218" s="132"/>
      <c r="B218" s="152">
        <v>24</v>
      </c>
      <c r="C218" s="94" t="s">
        <v>270</v>
      </c>
      <c r="D218" s="138">
        <v>4500</v>
      </c>
      <c r="E218" s="53">
        <v>0</v>
      </c>
      <c r="F218" s="54"/>
      <c r="G218" s="53"/>
      <c r="H218" s="138">
        <f t="shared" si="33"/>
        <v>4500</v>
      </c>
      <c r="I218" s="192">
        <v>4500</v>
      </c>
      <c r="K218" s="303">
        <v>0</v>
      </c>
      <c r="L218" s="353">
        <v>501.6</v>
      </c>
      <c r="M218" s="354">
        <v>1355.1999999999998</v>
      </c>
      <c r="N218" s="387">
        <f t="shared" si="34"/>
        <v>1.1368683772161603E-13</v>
      </c>
      <c r="O218" s="355">
        <v>1856.8</v>
      </c>
      <c r="P218" s="387">
        <f t="shared" si="35"/>
        <v>2643.2</v>
      </c>
    </row>
    <row r="219" spans="1:16" ht="15">
      <c r="A219" s="132"/>
      <c r="B219" s="93">
        <v>25</v>
      </c>
      <c r="C219" s="94" t="s">
        <v>271</v>
      </c>
      <c r="D219" s="138">
        <v>9500</v>
      </c>
      <c r="E219" s="53">
        <v>0</v>
      </c>
      <c r="F219" s="54"/>
      <c r="G219" s="53">
        <v>0</v>
      </c>
      <c r="H219" s="138">
        <f t="shared" si="33"/>
        <v>9500</v>
      </c>
      <c r="I219" s="192">
        <v>9500</v>
      </c>
      <c r="K219" s="303">
        <v>9648</v>
      </c>
      <c r="L219" s="353">
        <v>0</v>
      </c>
      <c r="M219" s="354">
        <v>0</v>
      </c>
      <c r="N219" s="387">
        <f t="shared" si="34"/>
        <v>8128</v>
      </c>
      <c r="O219" s="355">
        <v>17776</v>
      </c>
      <c r="P219" s="387">
        <f t="shared" si="35"/>
        <v>-8276</v>
      </c>
    </row>
    <row r="220" spans="1:16" ht="15">
      <c r="A220" s="132"/>
      <c r="B220" s="93">
        <v>26</v>
      </c>
      <c r="C220" s="94" t="s">
        <v>272</v>
      </c>
      <c r="D220" s="138">
        <v>2000</v>
      </c>
      <c r="E220" s="53">
        <v>0</v>
      </c>
      <c r="F220" s="54"/>
      <c r="G220" s="53">
        <v>0</v>
      </c>
      <c r="H220" s="138">
        <f t="shared" si="33"/>
        <v>2000</v>
      </c>
      <c r="I220" s="192">
        <v>2000</v>
      </c>
      <c r="K220" s="303">
        <v>0</v>
      </c>
      <c r="L220" s="353">
        <v>0</v>
      </c>
      <c r="M220" s="354">
        <v>0</v>
      </c>
      <c r="N220" s="387">
        <f t="shared" si="34"/>
        <v>0</v>
      </c>
      <c r="O220" s="355">
        <v>0</v>
      </c>
      <c r="P220" s="387">
        <f t="shared" si="35"/>
        <v>2000</v>
      </c>
    </row>
    <row r="221" spans="1:16" ht="15">
      <c r="A221" s="132"/>
      <c r="B221" s="152">
        <v>27</v>
      </c>
      <c r="C221" s="94" t="s">
        <v>273</v>
      </c>
      <c r="D221" s="138">
        <v>1000</v>
      </c>
      <c r="E221" s="53">
        <v>0</v>
      </c>
      <c r="F221" s="54"/>
      <c r="G221" s="53">
        <v>0</v>
      </c>
      <c r="H221" s="138">
        <f t="shared" si="33"/>
        <v>1000</v>
      </c>
      <c r="I221" s="192">
        <v>1000</v>
      </c>
      <c r="K221" s="303">
        <v>0</v>
      </c>
      <c r="L221" s="353">
        <v>0</v>
      </c>
      <c r="M221" s="354">
        <v>250</v>
      </c>
      <c r="N221" s="387">
        <f t="shared" si="34"/>
        <v>0</v>
      </c>
      <c r="O221" s="355">
        <v>250</v>
      </c>
      <c r="P221" s="387">
        <f t="shared" si="35"/>
        <v>750</v>
      </c>
    </row>
    <row r="222" spans="1:16" ht="15.75" thickBot="1">
      <c r="A222" s="132"/>
      <c r="B222" s="93">
        <v>28</v>
      </c>
      <c r="C222" s="94" t="s">
        <v>172</v>
      </c>
      <c r="D222" s="101">
        <v>5000</v>
      </c>
      <c r="E222" s="153">
        <v>0</v>
      </c>
      <c r="F222" s="154"/>
      <c r="G222" s="153">
        <v>0</v>
      </c>
      <c r="H222" s="101">
        <f t="shared" si="33"/>
        <v>5000</v>
      </c>
      <c r="I222" s="193">
        <v>5000</v>
      </c>
      <c r="K222" s="356">
        <v>0</v>
      </c>
      <c r="L222" s="353">
        <v>0</v>
      </c>
      <c r="M222" s="354">
        <v>1964.5</v>
      </c>
      <c r="N222" s="387">
        <f t="shared" si="34"/>
        <v>4991.1</v>
      </c>
      <c r="O222" s="357">
        <v>6955.6</v>
      </c>
      <c r="P222" s="387">
        <f t="shared" si="35"/>
        <v>-1955.6000000000004</v>
      </c>
    </row>
    <row r="223" spans="1:16" ht="15.75" thickBot="1">
      <c r="A223" s="132"/>
      <c r="B223" s="242" t="s">
        <v>173</v>
      </c>
      <c r="C223" s="223" t="s">
        <v>174</v>
      </c>
      <c r="D223" s="226">
        <f>+D224+D225+D226+D227+D228</f>
        <v>328000</v>
      </c>
      <c r="E223" s="221"/>
      <c r="F223" s="220"/>
      <c r="G223" s="231">
        <v>0</v>
      </c>
      <c r="H223" s="226">
        <f>+H224+H225+H226+H227+H228</f>
        <v>328000</v>
      </c>
      <c r="I223" s="216">
        <f>+I224+I225+I226+I227+I228</f>
        <v>328000</v>
      </c>
      <c r="J223" s="235"/>
      <c r="K223" s="348">
        <v>91554.16</v>
      </c>
      <c r="L223" s="349">
        <v>76057.62</v>
      </c>
      <c r="M223" s="349">
        <v>26833.660000000003</v>
      </c>
      <c r="N223" s="349">
        <f>+O223-K223-L223-M223</f>
        <v>126577.69</v>
      </c>
      <c r="O223" s="349">
        <f>+O224+O225+O226+O227+O228</f>
        <v>321023.13</v>
      </c>
      <c r="P223" s="349">
        <f aca="true" t="shared" si="36" ref="P223:P228">+H223-O223</f>
        <v>6976.869999999995</v>
      </c>
    </row>
    <row r="224" spans="1:16" ht="15">
      <c r="A224" s="132"/>
      <c r="B224" s="155">
        <v>1</v>
      </c>
      <c r="C224" s="118" t="s">
        <v>175</v>
      </c>
      <c r="D224" s="149">
        <v>156000</v>
      </c>
      <c r="E224" s="56"/>
      <c r="F224" s="62"/>
      <c r="G224" s="156">
        <v>0</v>
      </c>
      <c r="H224" s="149">
        <f>SUM(D224:G224)</f>
        <v>156000</v>
      </c>
      <c r="I224" s="187">
        <v>156000</v>
      </c>
      <c r="K224" s="302">
        <v>35947.16</v>
      </c>
      <c r="L224" s="353">
        <v>27111.469999999994</v>
      </c>
      <c r="M224" s="353">
        <v>12714.96</v>
      </c>
      <c r="N224" s="354">
        <f>+O224-K224-L224-M224</f>
        <v>81110.66</v>
      </c>
      <c r="O224" s="354">
        <f>113498.95+43385.3</f>
        <v>156884.25</v>
      </c>
      <c r="P224" s="388">
        <f t="shared" si="36"/>
        <v>-884.25</v>
      </c>
    </row>
    <row r="225" spans="1:16" ht="15">
      <c r="A225" s="132"/>
      <c r="B225" s="93">
        <v>2</v>
      </c>
      <c r="C225" s="94" t="s">
        <v>127</v>
      </c>
      <c r="D225" s="149">
        <v>54000</v>
      </c>
      <c r="E225" s="53"/>
      <c r="F225" s="60"/>
      <c r="G225" s="157">
        <v>0</v>
      </c>
      <c r="H225" s="149">
        <f>SUM(D225:G225)</f>
        <v>54000</v>
      </c>
      <c r="I225" s="188">
        <v>54000</v>
      </c>
      <c r="K225" s="303">
        <v>21589.02</v>
      </c>
      <c r="L225" s="353">
        <v>16211.880000000001</v>
      </c>
      <c r="M225" s="353">
        <v>6142.540000000001</v>
      </c>
      <c r="N225" s="354">
        <f>+O225-K225-L225-M225</f>
        <v>14870.609999999997</v>
      </c>
      <c r="O225" s="355">
        <v>58814.05</v>
      </c>
      <c r="P225" s="388">
        <f t="shared" si="36"/>
        <v>-4814.050000000003</v>
      </c>
    </row>
    <row r="226" spans="1:16" ht="15">
      <c r="A226" s="132"/>
      <c r="B226" s="93">
        <v>3</v>
      </c>
      <c r="C226" s="94" t="s">
        <v>176</v>
      </c>
      <c r="D226" s="149">
        <v>33000</v>
      </c>
      <c r="E226" s="53"/>
      <c r="F226" s="60"/>
      <c r="G226" s="157">
        <v>0</v>
      </c>
      <c r="H226" s="149">
        <f>SUM(D226:G226)</f>
        <v>33000</v>
      </c>
      <c r="I226" s="188">
        <v>33000</v>
      </c>
      <c r="K226" s="303">
        <v>9863.86</v>
      </c>
      <c r="L226" s="353">
        <v>7612.579999999998</v>
      </c>
      <c r="M226" s="353">
        <v>5189.080000000002</v>
      </c>
      <c r="N226" s="354">
        <f>+O226-K226-L226-M226</f>
        <v>8010.329999999998</v>
      </c>
      <c r="O226" s="355">
        <v>30675.85</v>
      </c>
      <c r="P226" s="388">
        <f t="shared" si="36"/>
        <v>2324.1500000000015</v>
      </c>
    </row>
    <row r="227" spans="1:16" ht="15">
      <c r="A227" s="132"/>
      <c r="B227" s="93">
        <v>4</v>
      </c>
      <c r="C227" s="94" t="s">
        <v>177</v>
      </c>
      <c r="D227" s="149">
        <v>57000</v>
      </c>
      <c r="E227" s="53"/>
      <c r="F227" s="60"/>
      <c r="G227" s="157">
        <v>0</v>
      </c>
      <c r="H227" s="149">
        <f>SUM(D227:G227)</f>
        <v>57000</v>
      </c>
      <c r="I227" s="188">
        <v>57000</v>
      </c>
      <c r="K227" s="303">
        <v>23541.87</v>
      </c>
      <c r="L227" s="353">
        <v>22297.27</v>
      </c>
      <c r="M227" s="353">
        <v>0</v>
      </c>
      <c r="N227" s="354">
        <f>+O227-K227-L227</f>
        <v>13260.250000000004</v>
      </c>
      <c r="O227" s="355">
        <v>59099.39</v>
      </c>
      <c r="P227" s="388">
        <f t="shared" si="36"/>
        <v>-2099.3899999999994</v>
      </c>
    </row>
    <row r="228" spans="1:16" ht="15.75" thickBot="1">
      <c r="A228" s="132"/>
      <c r="B228" s="93">
        <v>5</v>
      </c>
      <c r="C228" s="94" t="s">
        <v>178</v>
      </c>
      <c r="D228" s="149">
        <v>28000</v>
      </c>
      <c r="E228" s="53"/>
      <c r="F228" s="60"/>
      <c r="G228" s="157">
        <v>0</v>
      </c>
      <c r="H228" s="149">
        <f>SUM(D228:G228)</f>
        <v>28000</v>
      </c>
      <c r="I228" s="190">
        <v>28000</v>
      </c>
      <c r="K228" s="356">
        <v>612.25</v>
      </c>
      <c r="L228" s="353">
        <v>2824.42</v>
      </c>
      <c r="M228" s="353">
        <v>2787.08</v>
      </c>
      <c r="N228" s="352">
        <f>+O228-K228-L228-M228</f>
        <v>9325.84</v>
      </c>
      <c r="O228" s="357">
        <v>15549.59</v>
      </c>
      <c r="P228" s="388">
        <f t="shared" si="36"/>
        <v>12450.41</v>
      </c>
    </row>
    <row r="229" spans="1:16" ht="15.75" thickBot="1">
      <c r="A229" s="132"/>
      <c r="B229" s="242" t="s">
        <v>179</v>
      </c>
      <c r="C229" s="223" t="s">
        <v>34</v>
      </c>
      <c r="D229" s="222">
        <v>0</v>
      </c>
      <c r="E229" s="221"/>
      <c r="F229" s="222"/>
      <c r="G229" s="221">
        <f>+G230+G231+G232+G233+G234+G235+G236+G237+G238+G239+G240+G241+G242</f>
        <v>1810000</v>
      </c>
      <c r="H229" s="222">
        <f>+H230+H231+H232+H233+H234+H235+H236+H237+H238+H239+H240+H241+H242</f>
        <v>1810000</v>
      </c>
      <c r="I229" s="239">
        <f>+I230+I231+I232+I233+I234+I235+I236+I237+I238+I239+I240+I241+I242</f>
        <v>1810000</v>
      </c>
      <c r="J229" s="235"/>
      <c r="K229" s="361"/>
      <c r="L229" s="349">
        <v>119210.9</v>
      </c>
      <c r="M229" s="349">
        <v>201587.94999999998</v>
      </c>
      <c r="N229" s="349">
        <f>+O229-K229-L229-M229</f>
        <v>355869.16000000003</v>
      </c>
      <c r="O229" s="349">
        <f>+O230+O231+O232+O233+O234+O235+O236+O237+O238+O239+O240+O241+O242</f>
        <v>676668.01</v>
      </c>
      <c r="P229" s="349">
        <f>+H229-O229</f>
        <v>1133331.99</v>
      </c>
    </row>
    <row r="230" spans="1:16" ht="15">
      <c r="A230" s="132"/>
      <c r="B230" s="119">
        <v>1</v>
      </c>
      <c r="C230" s="32" t="s">
        <v>274</v>
      </c>
      <c r="D230" s="158">
        <v>0</v>
      </c>
      <c r="E230" s="53"/>
      <c r="F230" s="54"/>
      <c r="G230" s="21">
        <v>550000</v>
      </c>
      <c r="H230" s="24">
        <f aca="true" t="shared" si="37" ref="H230:H242">SUM(G230)</f>
        <v>550000</v>
      </c>
      <c r="I230" s="187">
        <v>550000</v>
      </c>
      <c r="K230" s="302">
        <v>0</v>
      </c>
      <c r="L230" s="353">
        <v>0</v>
      </c>
      <c r="M230" s="353">
        <v>0</v>
      </c>
      <c r="N230" s="354">
        <f>+O230-K230-L230-M230</f>
        <v>0</v>
      </c>
      <c r="O230" s="354">
        <v>0</v>
      </c>
      <c r="P230" s="354">
        <f>+H230-O230</f>
        <v>550000</v>
      </c>
    </row>
    <row r="231" spans="1:16" ht="26.25">
      <c r="A231" s="132"/>
      <c r="B231" s="127">
        <v>2</v>
      </c>
      <c r="C231" s="32" t="s">
        <v>30</v>
      </c>
      <c r="D231" s="54">
        <v>0</v>
      </c>
      <c r="E231" s="53"/>
      <c r="F231" s="54"/>
      <c r="G231" s="53">
        <v>5000</v>
      </c>
      <c r="H231" s="54">
        <f t="shared" si="37"/>
        <v>5000</v>
      </c>
      <c r="I231" s="188">
        <v>5000</v>
      </c>
      <c r="K231" s="302">
        <v>0</v>
      </c>
      <c r="L231" s="353">
        <v>0</v>
      </c>
      <c r="M231" s="353">
        <v>0</v>
      </c>
      <c r="N231" s="387">
        <f aca="true" t="shared" si="38" ref="N231:N242">+O231-K231-L231-M231</f>
        <v>2327.5</v>
      </c>
      <c r="O231" s="355">
        <v>2327.5</v>
      </c>
      <c r="P231" s="387">
        <f aca="true" t="shared" si="39" ref="P231:P242">+H231-O231</f>
        <v>2672.5</v>
      </c>
    </row>
    <row r="232" spans="1:16" ht="15">
      <c r="A232" s="132"/>
      <c r="B232" s="127">
        <v>3</v>
      </c>
      <c r="C232" s="33" t="s">
        <v>31</v>
      </c>
      <c r="D232" s="54">
        <v>0</v>
      </c>
      <c r="E232" s="53"/>
      <c r="F232" s="54"/>
      <c r="G232" s="53">
        <v>0</v>
      </c>
      <c r="H232" s="54">
        <f t="shared" si="37"/>
        <v>0</v>
      </c>
      <c r="I232" s="188"/>
      <c r="K232" s="302">
        <v>0</v>
      </c>
      <c r="L232" s="353">
        <v>0</v>
      </c>
      <c r="M232" s="353">
        <v>0</v>
      </c>
      <c r="N232" s="387">
        <f t="shared" si="38"/>
        <v>0</v>
      </c>
      <c r="O232" s="355"/>
      <c r="P232" s="387">
        <f t="shared" si="39"/>
        <v>0</v>
      </c>
    </row>
    <row r="233" spans="1:16" ht="15">
      <c r="A233" s="132"/>
      <c r="B233" s="127">
        <v>4</v>
      </c>
      <c r="C233" s="33" t="s">
        <v>275</v>
      </c>
      <c r="D233" s="54">
        <v>0</v>
      </c>
      <c r="E233" s="53"/>
      <c r="F233" s="54"/>
      <c r="G233" s="53">
        <v>235000</v>
      </c>
      <c r="H233" s="54">
        <f t="shared" si="37"/>
        <v>235000</v>
      </c>
      <c r="I233" s="188">
        <v>235000</v>
      </c>
      <c r="K233" s="302">
        <v>0</v>
      </c>
      <c r="L233" s="353">
        <v>0</v>
      </c>
      <c r="M233" s="353">
        <v>0</v>
      </c>
      <c r="N233" s="387">
        <f t="shared" si="38"/>
        <v>181302.54</v>
      </c>
      <c r="O233" s="355">
        <v>181302.54</v>
      </c>
      <c r="P233" s="387">
        <f t="shared" si="39"/>
        <v>53697.45999999999</v>
      </c>
    </row>
    <row r="234" spans="1:16" ht="26.25">
      <c r="A234" s="132"/>
      <c r="B234" s="127">
        <v>5</v>
      </c>
      <c r="C234" s="33" t="s">
        <v>32</v>
      </c>
      <c r="D234" s="54">
        <v>0</v>
      </c>
      <c r="E234" s="53"/>
      <c r="F234" s="54"/>
      <c r="G234" s="53">
        <v>80000</v>
      </c>
      <c r="H234" s="54">
        <f t="shared" si="37"/>
        <v>80000</v>
      </c>
      <c r="I234" s="188">
        <v>80000</v>
      </c>
      <c r="K234" s="302">
        <v>0</v>
      </c>
      <c r="L234" s="353">
        <v>57945</v>
      </c>
      <c r="M234" s="353">
        <v>8550</v>
      </c>
      <c r="N234" s="387">
        <f t="shared" si="38"/>
        <v>12155</v>
      </c>
      <c r="O234" s="355">
        <v>78650</v>
      </c>
      <c r="P234" s="387">
        <f t="shared" si="39"/>
        <v>1350</v>
      </c>
    </row>
    <row r="235" spans="1:16" ht="15">
      <c r="A235" s="132"/>
      <c r="B235" s="127">
        <v>6</v>
      </c>
      <c r="C235" s="32" t="s">
        <v>33</v>
      </c>
      <c r="D235" s="54">
        <v>0</v>
      </c>
      <c r="E235" s="53"/>
      <c r="F235" s="54"/>
      <c r="G235" s="53">
        <v>210000</v>
      </c>
      <c r="H235" s="54">
        <f t="shared" si="37"/>
        <v>210000</v>
      </c>
      <c r="I235" s="188">
        <v>210000</v>
      </c>
      <c r="K235" s="302">
        <v>0</v>
      </c>
      <c r="L235" s="353">
        <v>34220</v>
      </c>
      <c r="M235" s="353">
        <v>136875</v>
      </c>
      <c r="N235" s="387">
        <f t="shared" si="38"/>
        <v>36135.100000000006</v>
      </c>
      <c r="O235" s="355">
        <v>207230.1</v>
      </c>
      <c r="P235" s="387">
        <f t="shared" si="39"/>
        <v>2769.899999999994</v>
      </c>
    </row>
    <row r="236" spans="1:16" ht="39">
      <c r="A236" s="132"/>
      <c r="B236" s="127">
        <v>7</v>
      </c>
      <c r="C236" s="32" t="s">
        <v>276</v>
      </c>
      <c r="D236" s="54">
        <v>0</v>
      </c>
      <c r="E236" s="53"/>
      <c r="F236" s="54"/>
      <c r="G236" s="53">
        <v>90000</v>
      </c>
      <c r="H236" s="54">
        <f t="shared" si="37"/>
        <v>90000</v>
      </c>
      <c r="I236" s="188">
        <v>90000</v>
      </c>
      <c r="K236" s="302">
        <v>0</v>
      </c>
      <c r="L236" s="353">
        <v>4961.9</v>
      </c>
      <c r="M236" s="353">
        <v>43476.65</v>
      </c>
      <c r="N236" s="387">
        <f t="shared" si="38"/>
        <v>41561.450000000004</v>
      </c>
      <c r="O236" s="355">
        <v>90000</v>
      </c>
      <c r="P236" s="387">
        <f t="shared" si="39"/>
        <v>0</v>
      </c>
    </row>
    <row r="237" spans="1:16" ht="15">
      <c r="A237" s="132"/>
      <c r="B237" s="127">
        <v>8</v>
      </c>
      <c r="C237" s="32" t="s">
        <v>277</v>
      </c>
      <c r="D237" s="5">
        <v>0</v>
      </c>
      <c r="E237" s="6"/>
      <c r="F237" s="5"/>
      <c r="G237" s="53">
        <v>130000</v>
      </c>
      <c r="H237" s="54">
        <f t="shared" si="37"/>
        <v>130000</v>
      </c>
      <c r="I237" s="188">
        <v>130000</v>
      </c>
      <c r="K237" s="302">
        <v>0</v>
      </c>
      <c r="L237" s="353">
        <v>22084</v>
      </c>
      <c r="M237" s="353">
        <v>1874</v>
      </c>
      <c r="N237" s="387">
        <f t="shared" si="38"/>
        <v>55967.57000000001</v>
      </c>
      <c r="O237" s="355">
        <v>79925.57</v>
      </c>
      <c r="P237" s="387">
        <f t="shared" si="39"/>
        <v>50074.42999999999</v>
      </c>
    </row>
    <row r="238" spans="1:16" ht="26.25">
      <c r="A238" s="132"/>
      <c r="B238" s="127">
        <v>9</v>
      </c>
      <c r="C238" s="32" t="s">
        <v>278</v>
      </c>
      <c r="D238" s="5">
        <v>0</v>
      </c>
      <c r="E238" s="6"/>
      <c r="F238" s="5"/>
      <c r="G238" s="53"/>
      <c r="H238" s="54"/>
      <c r="I238" s="188"/>
      <c r="K238" s="302">
        <v>0</v>
      </c>
      <c r="L238" s="353">
        <v>0</v>
      </c>
      <c r="M238" s="353">
        <v>0</v>
      </c>
      <c r="N238" s="387">
        <f t="shared" si="38"/>
        <v>0</v>
      </c>
      <c r="O238" s="355">
        <v>0</v>
      </c>
      <c r="P238" s="387">
        <f t="shared" si="39"/>
        <v>0</v>
      </c>
    </row>
    <row r="239" spans="1:16" ht="15">
      <c r="A239" s="132"/>
      <c r="B239" s="127">
        <v>10</v>
      </c>
      <c r="C239" s="32" t="s">
        <v>304</v>
      </c>
      <c r="D239" s="5">
        <v>0</v>
      </c>
      <c r="E239" s="6"/>
      <c r="F239" s="5"/>
      <c r="G239" s="53">
        <v>120000</v>
      </c>
      <c r="H239" s="54">
        <f t="shared" si="37"/>
        <v>120000</v>
      </c>
      <c r="I239" s="188">
        <v>120000</v>
      </c>
      <c r="K239" s="302">
        <v>0</v>
      </c>
      <c r="L239" s="353">
        <v>0</v>
      </c>
      <c r="M239" s="353">
        <v>0</v>
      </c>
      <c r="N239" s="387">
        <f t="shared" si="38"/>
        <v>26420</v>
      </c>
      <c r="O239" s="355">
        <v>26420</v>
      </c>
      <c r="P239" s="387">
        <f t="shared" si="39"/>
        <v>93580</v>
      </c>
    </row>
    <row r="240" spans="1:16" ht="15">
      <c r="A240" s="132"/>
      <c r="B240" s="120">
        <v>11</v>
      </c>
      <c r="C240" s="32" t="s">
        <v>279</v>
      </c>
      <c r="D240" s="20">
        <v>0</v>
      </c>
      <c r="E240" s="21"/>
      <c r="F240" s="20"/>
      <c r="G240" s="53">
        <v>30000</v>
      </c>
      <c r="H240" s="54">
        <f t="shared" si="37"/>
        <v>30000</v>
      </c>
      <c r="I240" s="188">
        <v>30000</v>
      </c>
      <c r="K240" s="302">
        <v>0</v>
      </c>
      <c r="L240" s="353">
        <v>0</v>
      </c>
      <c r="M240" s="353">
        <v>10812.3</v>
      </c>
      <c r="N240" s="387">
        <f t="shared" si="38"/>
        <v>0</v>
      </c>
      <c r="O240" s="355">
        <v>10812.3</v>
      </c>
      <c r="P240" s="387">
        <f t="shared" si="39"/>
        <v>19187.7</v>
      </c>
    </row>
    <row r="241" spans="1:16" ht="15">
      <c r="A241" s="132"/>
      <c r="B241" s="120">
        <v>12</v>
      </c>
      <c r="C241" s="159" t="s">
        <v>291</v>
      </c>
      <c r="D241" s="20">
        <v>0</v>
      </c>
      <c r="E241" s="21"/>
      <c r="F241" s="20"/>
      <c r="G241" s="53">
        <v>60000</v>
      </c>
      <c r="H241" s="54">
        <f t="shared" si="37"/>
        <v>60000</v>
      </c>
      <c r="I241" s="190">
        <v>60000</v>
      </c>
      <c r="K241" s="302">
        <v>0</v>
      </c>
      <c r="L241" s="353">
        <v>0</v>
      </c>
      <c r="M241" s="353">
        <v>0</v>
      </c>
      <c r="N241" s="387">
        <f t="shared" si="38"/>
        <v>0</v>
      </c>
      <c r="O241" s="366">
        <v>0</v>
      </c>
      <c r="P241" s="387">
        <f t="shared" si="39"/>
        <v>60000</v>
      </c>
    </row>
    <row r="242" spans="1:16" ht="15.75" thickBot="1">
      <c r="A242" s="132"/>
      <c r="B242" s="108">
        <v>13</v>
      </c>
      <c r="C242" s="160" t="s">
        <v>280</v>
      </c>
      <c r="D242" s="34">
        <v>0</v>
      </c>
      <c r="E242" s="30"/>
      <c r="F242" s="34"/>
      <c r="G242" s="161">
        <v>300000</v>
      </c>
      <c r="H242" s="162">
        <f t="shared" si="37"/>
        <v>300000</v>
      </c>
      <c r="I242" s="190">
        <v>300000</v>
      </c>
      <c r="K242" s="302">
        <v>0</v>
      </c>
      <c r="L242" s="353">
        <v>0</v>
      </c>
      <c r="M242" s="353">
        <v>0</v>
      </c>
      <c r="N242" s="387">
        <f t="shared" si="38"/>
        <v>0</v>
      </c>
      <c r="O242" s="357">
        <v>0</v>
      </c>
      <c r="P242" s="387">
        <f t="shared" si="39"/>
        <v>300000</v>
      </c>
    </row>
    <row r="243" spans="1:16" ht="15.75" thickBot="1">
      <c r="A243" s="131"/>
      <c r="B243" s="242" t="s">
        <v>180</v>
      </c>
      <c r="C243" s="223" t="s">
        <v>281</v>
      </c>
      <c r="D243" s="220"/>
      <c r="E243" s="286"/>
      <c r="F243" s="220"/>
      <c r="G243" s="225">
        <v>320000</v>
      </c>
      <c r="H243" s="226">
        <f>+G243</f>
        <v>320000</v>
      </c>
      <c r="I243" s="213">
        <v>350000</v>
      </c>
      <c r="K243" s="348">
        <v>1440</v>
      </c>
      <c r="L243" s="373">
        <v>168993.01</v>
      </c>
      <c r="M243" s="373">
        <v>57169.98999999999</v>
      </c>
      <c r="N243" s="373">
        <f>+O243-K243-L243-M243</f>
        <v>90723.45000000001</v>
      </c>
      <c r="O243" s="373">
        <v>318326.45</v>
      </c>
      <c r="P243" s="390">
        <f>+H243-O243</f>
        <v>1673.5499999999884</v>
      </c>
    </row>
    <row r="244" spans="1:16" ht="15.75" thickBot="1">
      <c r="A244" s="285" t="s">
        <v>181</v>
      </c>
      <c r="B244" s="278" t="s">
        <v>41</v>
      </c>
      <c r="C244" s="284"/>
      <c r="D244" s="271">
        <f>+D247+D265+D245+D280</f>
        <v>2971707</v>
      </c>
      <c r="E244" s="272"/>
      <c r="F244" s="271">
        <f>+F246+F247+F271</f>
        <v>18658034</v>
      </c>
      <c r="G244" s="272">
        <f>+G247+G271+G280</f>
        <v>2885459</v>
      </c>
      <c r="H244" s="282">
        <f>SUM(D244+E244+F244+G244)</f>
        <v>24515200</v>
      </c>
      <c r="I244" s="269">
        <f>+I245+I247+I265+I271+I280</f>
        <v>23858750</v>
      </c>
      <c r="J244" s="263"/>
      <c r="K244" s="346">
        <v>6015225.98</v>
      </c>
      <c r="L244" s="347">
        <v>6013485.169999998</v>
      </c>
      <c r="M244" s="347">
        <v>5794510.5500000045</v>
      </c>
      <c r="N244" s="347">
        <f>+N245+N247+N265+N271+N280</f>
        <v>5924619.839999998</v>
      </c>
      <c r="O244" s="347">
        <f>+O245+O247+O265+O271+O280</f>
        <v>23747841.54</v>
      </c>
      <c r="P244" s="347">
        <f>+P245+P247+P265+P271+P280</f>
        <v>767358.4600000014</v>
      </c>
    </row>
    <row r="245" spans="1:19" s="393" customFormat="1" ht="15.75" thickBot="1">
      <c r="A245" s="145"/>
      <c r="B245" s="242" t="s">
        <v>182</v>
      </c>
      <c r="C245" s="223" t="s">
        <v>183</v>
      </c>
      <c r="D245" s="222">
        <f>D246</f>
        <v>650000</v>
      </c>
      <c r="E245" s="221"/>
      <c r="F245" s="222">
        <f>+F246</f>
        <v>18260000</v>
      </c>
      <c r="G245" s="221">
        <v>0</v>
      </c>
      <c r="H245" s="226">
        <f>+D245+F245</f>
        <v>18910000</v>
      </c>
      <c r="I245" s="185">
        <f>+I246</f>
        <v>18260000</v>
      </c>
      <c r="J245" s="392">
        <f>+D247+D265</f>
        <v>2315257</v>
      </c>
      <c r="K245" s="348">
        <v>4629510.21</v>
      </c>
      <c r="L245" s="367">
        <v>4674762.079999999</v>
      </c>
      <c r="M245" s="367">
        <v>4549670.970000002</v>
      </c>
      <c r="N245" s="367">
        <f>+N246</f>
        <v>4713599.299999998</v>
      </c>
      <c r="O245" s="367">
        <f>+O246</f>
        <v>18567542.56</v>
      </c>
      <c r="P245" s="367">
        <f>+P246</f>
        <v>342457.44000000134</v>
      </c>
      <c r="S245" s="215"/>
    </row>
    <row r="246" spans="1:16" ht="15.75" thickBot="1">
      <c r="A246" s="132"/>
      <c r="B246" s="163">
        <v>1</v>
      </c>
      <c r="C246" s="164" t="s">
        <v>59</v>
      </c>
      <c r="D246" s="2">
        <v>650000</v>
      </c>
      <c r="E246" s="3"/>
      <c r="F246" s="165">
        <v>18260000</v>
      </c>
      <c r="G246" s="3">
        <v>0</v>
      </c>
      <c r="H246" s="166">
        <f>+F246+D246</f>
        <v>18910000</v>
      </c>
      <c r="I246" s="184">
        <v>18260000</v>
      </c>
      <c r="J246" s="179">
        <f>+F246+F247+F271</f>
        <v>18658034</v>
      </c>
      <c r="K246" s="350">
        <v>4629510.21</v>
      </c>
      <c r="L246" s="371">
        <v>4674762.079999999</v>
      </c>
      <c r="M246" s="371">
        <v>4549670.970000002</v>
      </c>
      <c r="N246" s="372">
        <f>+O246-K246-L246-M246</f>
        <v>4713599.299999998</v>
      </c>
      <c r="O246" s="372">
        <v>18567542.56</v>
      </c>
      <c r="P246" s="391">
        <f>+H246-O246</f>
        <v>342457.44000000134</v>
      </c>
    </row>
    <row r="247" spans="1:16" ht="15.75" thickBot="1">
      <c r="A247" s="132"/>
      <c r="B247" s="242" t="s">
        <v>184</v>
      </c>
      <c r="C247" s="283" t="s">
        <v>166</v>
      </c>
      <c r="D247" s="222">
        <f>+D248+D249+D250+D251+D252+D253+D254+D255+D256+D257+D258+D259+D260+D261+D263+D262+D264</f>
        <v>1695257</v>
      </c>
      <c r="E247" s="221"/>
      <c r="F247" s="222">
        <f>+F249+F251+F257+F263</f>
        <v>393493</v>
      </c>
      <c r="G247" s="221">
        <f>+G249+G257+G264</f>
        <v>1200000</v>
      </c>
      <c r="H247" s="222">
        <f aca="true" t="shared" si="40" ref="H247:H264">SUM(D247:G247)</f>
        <v>3288750</v>
      </c>
      <c r="I247" s="185">
        <f>+I248+I249+I250+I251+I252+I253+I254+I255+I256+I257+I258+I259+I260+I261+I262+I263+I264</f>
        <v>3288750</v>
      </c>
      <c r="J247" s="179">
        <f>+G247+G271+G280</f>
        <v>2885459</v>
      </c>
      <c r="K247" s="348">
        <v>979548.87</v>
      </c>
      <c r="L247" s="369">
        <v>1032509.07</v>
      </c>
      <c r="M247" s="369">
        <v>742308.9599999998</v>
      </c>
      <c r="N247" s="369">
        <f>+O247-M247-L247-K247</f>
        <v>520881.1000000002</v>
      </c>
      <c r="O247" s="369">
        <f>+O248+O249+O250+O251+O252+O253+O254+O255+O256+O257+O258+O259+O260+O261+O262+O263+O264</f>
        <v>3275248</v>
      </c>
      <c r="P247" s="369">
        <f>+H247-O247</f>
        <v>13502</v>
      </c>
    </row>
    <row r="248" spans="1:16" ht="15">
      <c r="A248" s="132"/>
      <c r="B248" s="120">
        <v>1</v>
      </c>
      <c r="C248" s="167" t="s">
        <v>63</v>
      </c>
      <c r="D248" s="168">
        <v>80000</v>
      </c>
      <c r="E248" s="53"/>
      <c r="F248" s="54">
        <v>0</v>
      </c>
      <c r="G248" s="53">
        <v>0</v>
      </c>
      <c r="H248" s="168">
        <f t="shared" si="40"/>
        <v>80000</v>
      </c>
      <c r="I248" s="187">
        <v>80000</v>
      </c>
      <c r="J248" s="189">
        <f>SUM(J245:J247)</f>
        <v>23858750</v>
      </c>
      <c r="K248" s="302">
        <v>15467.85</v>
      </c>
      <c r="L248" s="353">
        <v>105680.76</v>
      </c>
      <c r="M248" s="353">
        <v>15604.89</v>
      </c>
      <c r="N248" s="354">
        <f>+O248-M248-L248-K248</f>
        <v>3914.88000000001</v>
      </c>
      <c r="O248" s="354">
        <v>140668.38</v>
      </c>
      <c r="P248" s="387">
        <f>+H248-O248</f>
        <v>-60668.380000000005</v>
      </c>
    </row>
    <row r="249" spans="1:16" ht="15">
      <c r="A249" s="132"/>
      <c r="B249" s="120">
        <v>2</v>
      </c>
      <c r="C249" s="167" t="s">
        <v>185</v>
      </c>
      <c r="D249" s="168">
        <v>200000</v>
      </c>
      <c r="E249" s="53"/>
      <c r="F249" s="54">
        <v>100000</v>
      </c>
      <c r="G249" s="169">
        <v>900000</v>
      </c>
      <c r="H249" s="168">
        <f t="shared" si="40"/>
        <v>1200000</v>
      </c>
      <c r="I249" s="188">
        <v>1200000</v>
      </c>
      <c r="K249" s="303">
        <v>330203.51</v>
      </c>
      <c r="L249" s="353">
        <v>317105.80999999994</v>
      </c>
      <c r="M249" s="354">
        <v>313520.8400000001</v>
      </c>
      <c r="N249" s="387">
        <f aca="true" t="shared" si="41" ref="N249:N264">+O249-M249-L249-K249</f>
        <v>230702.07999999996</v>
      </c>
      <c r="O249" s="355">
        <v>1191532.24</v>
      </c>
      <c r="P249" s="387">
        <f aca="true" t="shared" si="42" ref="P249:P264">+H249-O249</f>
        <v>8467.76000000001</v>
      </c>
    </row>
    <row r="250" spans="1:16" ht="15">
      <c r="A250" s="132"/>
      <c r="B250" s="120">
        <v>3</v>
      </c>
      <c r="C250" s="167" t="s">
        <v>186</v>
      </c>
      <c r="D250" s="168">
        <v>5000</v>
      </c>
      <c r="E250" s="53"/>
      <c r="F250" s="54">
        <v>0</v>
      </c>
      <c r="G250" s="53">
        <v>0</v>
      </c>
      <c r="H250" s="168">
        <f t="shared" si="40"/>
        <v>5000</v>
      </c>
      <c r="I250" s="188">
        <v>5000</v>
      </c>
      <c r="K250" s="303">
        <v>0</v>
      </c>
      <c r="L250" s="353">
        <v>32743.11</v>
      </c>
      <c r="M250" s="354">
        <v>21478.410000000003</v>
      </c>
      <c r="N250" s="387">
        <f t="shared" si="41"/>
        <v>14299.479999999996</v>
      </c>
      <c r="O250" s="355">
        <v>68521</v>
      </c>
      <c r="P250" s="387">
        <f t="shared" si="42"/>
        <v>-63521</v>
      </c>
    </row>
    <row r="251" spans="1:16" ht="15">
      <c r="A251" s="132"/>
      <c r="B251" s="127">
        <v>5</v>
      </c>
      <c r="C251" s="167" t="s">
        <v>72</v>
      </c>
      <c r="D251" s="20">
        <v>260000</v>
      </c>
      <c r="E251" s="53"/>
      <c r="F251" s="54">
        <v>100000</v>
      </c>
      <c r="G251" s="53">
        <v>0</v>
      </c>
      <c r="H251" s="168">
        <f t="shared" si="40"/>
        <v>360000</v>
      </c>
      <c r="I251" s="188">
        <v>360000</v>
      </c>
      <c r="K251" s="303">
        <v>146636.84</v>
      </c>
      <c r="L251" s="353">
        <v>68883.16</v>
      </c>
      <c r="M251" s="354">
        <v>59834</v>
      </c>
      <c r="N251" s="387">
        <f t="shared" si="41"/>
        <v>14511</v>
      </c>
      <c r="O251" s="355">
        <v>289865</v>
      </c>
      <c r="P251" s="387">
        <f t="shared" si="42"/>
        <v>70135</v>
      </c>
    </row>
    <row r="252" spans="1:16" ht="15">
      <c r="A252" s="132"/>
      <c r="B252" s="127">
        <v>6</v>
      </c>
      <c r="C252" s="167" t="s">
        <v>77</v>
      </c>
      <c r="D252" s="168">
        <v>9000</v>
      </c>
      <c r="E252" s="53"/>
      <c r="F252" s="54">
        <v>0</v>
      </c>
      <c r="G252" s="53">
        <v>0</v>
      </c>
      <c r="H252" s="168">
        <f t="shared" si="40"/>
        <v>9000</v>
      </c>
      <c r="I252" s="188">
        <v>9000</v>
      </c>
      <c r="K252" s="303">
        <v>5070.23</v>
      </c>
      <c r="L252" s="353">
        <v>2776.7200000000003</v>
      </c>
      <c r="M252" s="354">
        <v>1499.88</v>
      </c>
      <c r="N252" s="387">
        <f t="shared" si="41"/>
        <v>1906.3999999999987</v>
      </c>
      <c r="O252" s="355">
        <v>11253.23</v>
      </c>
      <c r="P252" s="387">
        <f t="shared" si="42"/>
        <v>-2253.2299999999996</v>
      </c>
    </row>
    <row r="253" spans="1:16" ht="15">
      <c r="A253" s="132"/>
      <c r="B253" s="127">
        <v>7</v>
      </c>
      <c r="C253" s="167" t="s">
        <v>282</v>
      </c>
      <c r="D253" s="168">
        <v>1000</v>
      </c>
      <c r="E253" s="53"/>
      <c r="F253" s="54">
        <v>0</v>
      </c>
      <c r="G253" s="53">
        <v>0</v>
      </c>
      <c r="H253" s="168">
        <f t="shared" si="40"/>
        <v>1000</v>
      </c>
      <c r="I253" s="188">
        <v>1000</v>
      </c>
      <c r="K253" s="303">
        <v>0</v>
      </c>
      <c r="L253" s="353">
        <v>0</v>
      </c>
      <c r="M253" s="354">
        <v>0</v>
      </c>
      <c r="N253" s="387">
        <f t="shared" si="41"/>
        <v>0</v>
      </c>
      <c r="O253" s="355">
        <v>0</v>
      </c>
      <c r="P253" s="387">
        <f t="shared" si="42"/>
        <v>1000</v>
      </c>
    </row>
    <row r="254" spans="1:16" ht="15">
      <c r="A254" s="132"/>
      <c r="B254" s="127">
        <v>8</v>
      </c>
      <c r="C254" s="167" t="s">
        <v>187</v>
      </c>
      <c r="D254" s="168">
        <v>20000</v>
      </c>
      <c r="E254" s="53"/>
      <c r="F254" s="54">
        <v>0</v>
      </c>
      <c r="G254" s="53">
        <v>0</v>
      </c>
      <c r="H254" s="168">
        <f t="shared" si="40"/>
        <v>20000</v>
      </c>
      <c r="I254" s="188">
        <v>20000</v>
      </c>
      <c r="K254" s="303">
        <v>22942.12</v>
      </c>
      <c r="L254" s="353">
        <v>15536.079999999998</v>
      </c>
      <c r="M254" s="354">
        <v>716.1800000000003</v>
      </c>
      <c r="N254" s="387">
        <f t="shared" si="41"/>
        <v>4495.6700000000055</v>
      </c>
      <c r="O254" s="355">
        <v>43690.05</v>
      </c>
      <c r="P254" s="387">
        <f t="shared" si="42"/>
        <v>-23690.050000000003</v>
      </c>
    </row>
    <row r="255" spans="1:16" ht="15">
      <c r="A255" s="132"/>
      <c r="B255" s="127">
        <v>9</v>
      </c>
      <c r="C255" s="167" t="s">
        <v>188</v>
      </c>
      <c r="D255" s="168">
        <v>200000</v>
      </c>
      <c r="E255" s="53"/>
      <c r="F255" s="54">
        <v>0</v>
      </c>
      <c r="G255" s="21">
        <v>0</v>
      </c>
      <c r="H255" s="168">
        <f t="shared" si="40"/>
        <v>200000</v>
      </c>
      <c r="I255" s="188">
        <v>200000</v>
      </c>
      <c r="K255" s="302">
        <v>27854.280000000002</v>
      </c>
      <c r="L255" s="353">
        <v>23665.599999999995</v>
      </c>
      <c r="M255" s="354">
        <v>16065.120000000006</v>
      </c>
      <c r="N255" s="387">
        <f t="shared" si="41"/>
        <v>90580.48000000003</v>
      </c>
      <c r="O255" s="355">
        <f>77497.1+120668.38-40000</f>
        <v>158165.48</v>
      </c>
      <c r="P255" s="387">
        <f t="shared" si="42"/>
        <v>41834.51999999999</v>
      </c>
    </row>
    <row r="256" spans="1:16" ht="15">
      <c r="A256" s="132"/>
      <c r="B256" s="127">
        <v>10</v>
      </c>
      <c r="C256" s="167" t="s">
        <v>203</v>
      </c>
      <c r="D256" s="168">
        <v>206150</v>
      </c>
      <c r="E256" s="53"/>
      <c r="F256" s="54">
        <v>0</v>
      </c>
      <c r="G256" s="53">
        <v>0</v>
      </c>
      <c r="H256" s="168">
        <f t="shared" si="40"/>
        <v>206150</v>
      </c>
      <c r="I256" s="188">
        <v>206150</v>
      </c>
      <c r="K256" s="303">
        <v>158144.46</v>
      </c>
      <c r="L256" s="353">
        <v>90545.93000000002</v>
      </c>
      <c r="M256" s="354">
        <v>88450.14999999997</v>
      </c>
      <c r="N256" s="387">
        <f t="shared" si="41"/>
        <v>15117.460000000021</v>
      </c>
      <c r="O256" s="355">
        <v>352258</v>
      </c>
      <c r="P256" s="387">
        <f t="shared" si="42"/>
        <v>-146108</v>
      </c>
    </row>
    <row r="257" spans="1:16" ht="15">
      <c r="A257" s="132"/>
      <c r="B257" s="127">
        <v>11</v>
      </c>
      <c r="C257" s="167" t="s">
        <v>86</v>
      </c>
      <c r="D257" s="20">
        <v>213318</v>
      </c>
      <c r="E257" s="53"/>
      <c r="F257" s="54">
        <v>186682</v>
      </c>
      <c r="G257" s="53">
        <v>200000</v>
      </c>
      <c r="H257" s="168">
        <f t="shared" si="40"/>
        <v>600000</v>
      </c>
      <c r="I257" s="188">
        <v>600000</v>
      </c>
      <c r="K257" s="303">
        <v>100907.53</v>
      </c>
      <c r="L257" s="353">
        <v>193067.6</v>
      </c>
      <c r="M257" s="354">
        <v>95848.23999999996</v>
      </c>
      <c r="N257" s="387">
        <f t="shared" si="41"/>
        <v>65411.630000000005</v>
      </c>
      <c r="O257" s="355">
        <v>455235</v>
      </c>
      <c r="P257" s="387">
        <f t="shared" si="42"/>
        <v>144765</v>
      </c>
    </row>
    <row r="258" spans="1:16" ht="15">
      <c r="A258" s="132"/>
      <c r="B258" s="127">
        <v>12</v>
      </c>
      <c r="C258" s="167" t="s">
        <v>189</v>
      </c>
      <c r="D258" s="168">
        <v>0</v>
      </c>
      <c r="E258" s="53"/>
      <c r="F258" s="54">
        <v>0</v>
      </c>
      <c r="G258" s="53">
        <v>0</v>
      </c>
      <c r="H258" s="168">
        <f t="shared" si="40"/>
        <v>0</v>
      </c>
      <c r="I258" s="188">
        <v>0</v>
      </c>
      <c r="K258" s="303">
        <v>0</v>
      </c>
      <c r="L258" s="353">
        <v>0</v>
      </c>
      <c r="M258" s="354">
        <v>0</v>
      </c>
      <c r="N258" s="387">
        <f t="shared" si="41"/>
        <v>0</v>
      </c>
      <c r="O258" s="355">
        <v>0</v>
      </c>
      <c r="P258" s="387">
        <f t="shared" si="42"/>
        <v>0</v>
      </c>
    </row>
    <row r="259" spans="1:16" ht="15">
      <c r="A259" s="132"/>
      <c r="B259" s="127">
        <v>13</v>
      </c>
      <c r="C259" s="167" t="s">
        <v>91</v>
      </c>
      <c r="D259" s="168">
        <v>1000</v>
      </c>
      <c r="E259" s="53"/>
      <c r="F259" s="54">
        <v>0</v>
      </c>
      <c r="G259" s="53">
        <v>0</v>
      </c>
      <c r="H259" s="168">
        <f t="shared" si="40"/>
        <v>1000</v>
      </c>
      <c r="I259" s="188">
        <v>1000</v>
      </c>
      <c r="K259" s="303">
        <v>170</v>
      </c>
      <c r="L259" s="353">
        <v>80</v>
      </c>
      <c r="M259" s="354">
        <v>0</v>
      </c>
      <c r="N259" s="387">
        <f t="shared" si="41"/>
        <v>0</v>
      </c>
      <c r="O259" s="355">
        <v>250</v>
      </c>
      <c r="P259" s="387">
        <f t="shared" si="42"/>
        <v>750</v>
      </c>
    </row>
    <row r="260" spans="1:16" ht="15">
      <c r="A260" s="132"/>
      <c r="B260" s="127">
        <v>14</v>
      </c>
      <c r="C260" s="167" t="s">
        <v>92</v>
      </c>
      <c r="D260" s="168">
        <v>1000</v>
      </c>
      <c r="E260" s="53"/>
      <c r="F260" s="54">
        <v>0</v>
      </c>
      <c r="G260" s="53">
        <v>0</v>
      </c>
      <c r="H260" s="168">
        <f t="shared" si="40"/>
        <v>1000</v>
      </c>
      <c r="I260" s="188">
        <v>1000</v>
      </c>
      <c r="K260" s="303">
        <v>0</v>
      </c>
      <c r="L260" s="353">
        <v>0</v>
      </c>
      <c r="M260" s="354">
        <v>0</v>
      </c>
      <c r="N260" s="387">
        <f t="shared" si="41"/>
        <v>0</v>
      </c>
      <c r="O260" s="355">
        <v>0</v>
      </c>
      <c r="P260" s="387">
        <f t="shared" si="42"/>
        <v>1000</v>
      </c>
    </row>
    <row r="261" spans="1:16" ht="15">
      <c r="A261" s="132"/>
      <c r="B261" s="127">
        <v>15</v>
      </c>
      <c r="C261" s="167" t="s">
        <v>96</v>
      </c>
      <c r="D261" s="168">
        <v>600</v>
      </c>
      <c r="E261" s="53"/>
      <c r="F261" s="54">
        <v>0</v>
      </c>
      <c r="G261" s="53">
        <v>0</v>
      </c>
      <c r="H261" s="168">
        <f t="shared" si="40"/>
        <v>600</v>
      </c>
      <c r="I261" s="188">
        <v>600</v>
      </c>
      <c r="K261" s="303">
        <v>0</v>
      </c>
      <c r="L261" s="353">
        <v>0</v>
      </c>
      <c r="M261" s="354">
        <v>2161.48</v>
      </c>
      <c r="N261" s="387">
        <f t="shared" si="41"/>
        <v>0</v>
      </c>
      <c r="O261" s="355">
        <v>2161.48</v>
      </c>
      <c r="P261" s="387">
        <f t="shared" si="42"/>
        <v>-1561.48</v>
      </c>
    </row>
    <row r="262" spans="1:16" ht="15">
      <c r="A262" s="132"/>
      <c r="B262" s="127">
        <v>16</v>
      </c>
      <c r="C262" s="167" t="s">
        <v>109</v>
      </c>
      <c r="D262" s="168">
        <v>5000</v>
      </c>
      <c r="E262" s="53"/>
      <c r="F262" s="54">
        <v>0</v>
      </c>
      <c r="G262" s="53">
        <v>0</v>
      </c>
      <c r="H262" s="168">
        <f t="shared" si="40"/>
        <v>5000</v>
      </c>
      <c r="I262" s="188">
        <v>5000</v>
      </c>
      <c r="K262" s="303">
        <v>0</v>
      </c>
      <c r="L262" s="353">
        <v>2142.98</v>
      </c>
      <c r="M262" s="354">
        <v>822.96</v>
      </c>
      <c r="N262" s="387">
        <f t="shared" si="41"/>
        <v>898.04</v>
      </c>
      <c r="O262" s="355">
        <v>3863.98</v>
      </c>
      <c r="P262" s="387">
        <f t="shared" si="42"/>
        <v>1136.02</v>
      </c>
    </row>
    <row r="263" spans="1:16" ht="15">
      <c r="A263" s="132"/>
      <c r="B263" s="127">
        <v>17</v>
      </c>
      <c r="C263" s="31" t="s">
        <v>93</v>
      </c>
      <c r="D263" s="168">
        <v>43189</v>
      </c>
      <c r="E263" s="53"/>
      <c r="F263" s="54">
        <v>6811</v>
      </c>
      <c r="G263" s="53">
        <v>0</v>
      </c>
      <c r="H263" s="168">
        <f t="shared" si="40"/>
        <v>50000</v>
      </c>
      <c r="I263" s="188">
        <v>50000</v>
      </c>
      <c r="K263" s="303">
        <v>30604.88</v>
      </c>
      <c r="L263" s="353">
        <v>55798.15999999999</v>
      </c>
      <c r="M263" s="354">
        <v>6298.320000000007</v>
      </c>
      <c r="N263" s="387">
        <f t="shared" si="41"/>
        <v>15582.800000000007</v>
      </c>
      <c r="O263" s="355">
        <v>108284.16</v>
      </c>
      <c r="P263" s="387">
        <f t="shared" si="42"/>
        <v>-58284.16</v>
      </c>
    </row>
    <row r="264" spans="1:16" ht="15.75" thickBot="1">
      <c r="A264" s="132"/>
      <c r="B264" s="127">
        <v>18</v>
      </c>
      <c r="C264" s="167" t="s">
        <v>190</v>
      </c>
      <c r="D264" s="168">
        <v>450000</v>
      </c>
      <c r="E264" s="53"/>
      <c r="F264" s="170">
        <v>0</v>
      </c>
      <c r="G264" s="21">
        <v>100000</v>
      </c>
      <c r="H264" s="168">
        <f t="shared" si="40"/>
        <v>550000</v>
      </c>
      <c r="I264" s="190">
        <v>550000</v>
      </c>
      <c r="K264" s="356">
        <v>141547.17</v>
      </c>
      <c r="L264" s="353">
        <v>124483.16</v>
      </c>
      <c r="M264" s="354">
        <v>120008.48999999999</v>
      </c>
      <c r="N264" s="387">
        <f t="shared" si="41"/>
        <v>63461.17999999999</v>
      </c>
      <c r="O264" s="357">
        <v>449500</v>
      </c>
      <c r="P264" s="387">
        <f t="shared" si="42"/>
        <v>100500</v>
      </c>
    </row>
    <row r="265" spans="1:16" ht="15.75" thickBot="1">
      <c r="A265" s="132"/>
      <c r="B265" s="242" t="s">
        <v>191</v>
      </c>
      <c r="C265" s="223" t="s">
        <v>124</v>
      </c>
      <c r="D265" s="226">
        <f>+D266+D267+D268+D269+D270</f>
        <v>620000</v>
      </c>
      <c r="E265" s="231"/>
      <c r="F265" s="222"/>
      <c r="G265" s="231"/>
      <c r="H265" s="226">
        <f>+H266+H267+H268+H269+H270</f>
        <v>620000</v>
      </c>
      <c r="I265" s="185">
        <f>+I266+I267+I268+I269+I270</f>
        <v>620000</v>
      </c>
      <c r="K265" s="348">
        <v>177386.03</v>
      </c>
      <c r="L265" s="349">
        <v>114050.33000000005</v>
      </c>
      <c r="M265" s="349">
        <v>122074.34999999998</v>
      </c>
      <c r="N265" s="349">
        <f>+O265-M265-L265-K265</f>
        <v>206488.53999999995</v>
      </c>
      <c r="O265" s="349">
        <f>+O266+O267+O268+O269+O270</f>
        <v>619999.25</v>
      </c>
      <c r="P265" s="349">
        <f aca="true" t="shared" si="43" ref="P265:P270">+H265-O265</f>
        <v>0.75</v>
      </c>
    </row>
    <row r="266" spans="1:16" ht="15">
      <c r="A266" s="132"/>
      <c r="B266" s="127">
        <v>1</v>
      </c>
      <c r="C266" s="171" t="s">
        <v>175</v>
      </c>
      <c r="D266" s="148">
        <v>350000</v>
      </c>
      <c r="E266" s="51"/>
      <c r="F266" s="54">
        <v>0</v>
      </c>
      <c r="G266" s="6">
        <v>0</v>
      </c>
      <c r="H266" s="148">
        <f>SUM(D266:G266)</f>
        <v>350000</v>
      </c>
      <c r="I266" s="187">
        <v>350000</v>
      </c>
      <c r="K266" s="302">
        <v>147837.44</v>
      </c>
      <c r="L266" s="353">
        <v>48691.95999999999</v>
      </c>
      <c r="M266" s="353">
        <v>37136.30000000002</v>
      </c>
      <c r="N266" s="354">
        <f>+O266-K266-L266-M266</f>
        <v>146372.97000000003</v>
      </c>
      <c r="O266" s="387">
        <f>259038.67+121000</f>
        <v>380038.67000000004</v>
      </c>
      <c r="P266" s="388">
        <f t="shared" si="43"/>
        <v>-30038.670000000042</v>
      </c>
    </row>
    <row r="267" spans="1:16" ht="15">
      <c r="A267" s="132"/>
      <c r="B267" s="120">
        <v>2</v>
      </c>
      <c r="C267" s="167" t="s">
        <v>127</v>
      </c>
      <c r="D267" s="172">
        <v>150000</v>
      </c>
      <c r="E267" s="21"/>
      <c r="F267" s="54">
        <v>0</v>
      </c>
      <c r="G267" s="21">
        <v>0</v>
      </c>
      <c r="H267" s="172">
        <f>SUM(D267:G267)</f>
        <v>150000</v>
      </c>
      <c r="I267" s="188">
        <v>150000</v>
      </c>
      <c r="K267" s="303">
        <v>29548.59</v>
      </c>
      <c r="L267" s="353">
        <v>24958.960000000003</v>
      </c>
      <c r="M267" s="353">
        <v>0</v>
      </c>
      <c r="N267" s="354">
        <f>+O267-K267-L267</f>
        <v>53036.32999999999</v>
      </c>
      <c r="O267" s="355">
        <f>77995.29+29548.59</f>
        <v>107543.87999999999</v>
      </c>
      <c r="P267" s="388">
        <f t="shared" si="43"/>
        <v>42456.12000000001</v>
      </c>
    </row>
    <row r="268" spans="1:16" ht="15">
      <c r="A268" s="132"/>
      <c r="B268" s="127">
        <v>3</v>
      </c>
      <c r="C268" s="167" t="s">
        <v>128</v>
      </c>
      <c r="D268" s="172">
        <v>60000</v>
      </c>
      <c r="E268" s="21"/>
      <c r="F268" s="54">
        <v>0</v>
      </c>
      <c r="G268" s="21">
        <v>0</v>
      </c>
      <c r="H268" s="172">
        <f>SUM(D268:G268)</f>
        <v>60000</v>
      </c>
      <c r="I268" s="188">
        <v>60000</v>
      </c>
      <c r="K268" s="303">
        <v>0</v>
      </c>
      <c r="L268" s="353">
        <v>0</v>
      </c>
      <c r="M268" s="353">
        <v>27306.5</v>
      </c>
      <c r="N268" s="354">
        <f>+O268-K268-L268-M268</f>
        <v>0</v>
      </c>
      <c r="O268" s="355">
        <v>27306.5</v>
      </c>
      <c r="P268" s="388">
        <f t="shared" si="43"/>
        <v>32693.5</v>
      </c>
    </row>
    <row r="269" spans="1:16" ht="15">
      <c r="A269" s="132"/>
      <c r="B269" s="120">
        <v>4</v>
      </c>
      <c r="C269" s="173" t="s">
        <v>177</v>
      </c>
      <c r="D269" s="172">
        <v>35000</v>
      </c>
      <c r="E269" s="21"/>
      <c r="F269" s="54">
        <v>0</v>
      </c>
      <c r="G269" s="21">
        <v>0</v>
      </c>
      <c r="H269" s="172">
        <f>SUM(D269:G269)</f>
        <v>35000</v>
      </c>
      <c r="I269" s="188">
        <v>35000</v>
      </c>
      <c r="K269" s="303">
        <v>0</v>
      </c>
      <c r="L269" s="353">
        <v>29370.15</v>
      </c>
      <c r="M269" s="353">
        <v>42512.85</v>
      </c>
      <c r="N269" s="354">
        <f>+O269-L269-M269</f>
        <v>0</v>
      </c>
      <c r="O269" s="355">
        <v>71883</v>
      </c>
      <c r="P269" s="354">
        <f t="shared" si="43"/>
        <v>-36883</v>
      </c>
    </row>
    <row r="270" spans="1:16" ht="15.75" thickBot="1">
      <c r="A270" s="132"/>
      <c r="B270" s="174">
        <v>5</v>
      </c>
      <c r="C270" s="175" t="s">
        <v>178</v>
      </c>
      <c r="D270" s="176">
        <v>25000</v>
      </c>
      <c r="E270" s="52"/>
      <c r="F270" s="57">
        <v>0</v>
      </c>
      <c r="G270" s="52">
        <v>0</v>
      </c>
      <c r="H270" s="176">
        <f>SUM(D270:G270)</f>
        <v>25000</v>
      </c>
      <c r="I270" s="190">
        <v>25000</v>
      </c>
      <c r="K270" s="356">
        <v>0</v>
      </c>
      <c r="L270" s="353">
        <v>11029.26</v>
      </c>
      <c r="M270" s="353">
        <v>15118.699999999999</v>
      </c>
      <c r="N270" s="352">
        <f>+O270-L270-M270</f>
        <v>7079.239999999996</v>
      </c>
      <c r="O270" s="357">
        <v>33227.2</v>
      </c>
      <c r="P270" s="388">
        <f t="shared" si="43"/>
        <v>-8227.199999999997</v>
      </c>
    </row>
    <row r="271" spans="1:16" ht="15.75" thickBot="1">
      <c r="A271" s="132"/>
      <c r="B271" s="242" t="s">
        <v>192</v>
      </c>
      <c r="C271" s="243" t="s">
        <v>34</v>
      </c>
      <c r="D271" s="222">
        <v>0</v>
      </c>
      <c r="E271" s="221"/>
      <c r="F271" s="222">
        <f>+F272</f>
        <v>4541</v>
      </c>
      <c r="G271" s="221">
        <f>+G272+G273+G274+G275+G276+G277+G278+G279</f>
        <v>1475459</v>
      </c>
      <c r="H271" s="222">
        <f>SUM(H272:H279)</f>
        <v>1480000</v>
      </c>
      <c r="I271" s="239">
        <v>1480000</v>
      </c>
      <c r="J271" s="235"/>
      <c r="K271" s="348">
        <v>196900.87</v>
      </c>
      <c r="L271" s="349">
        <v>157218.69</v>
      </c>
      <c r="M271" s="349">
        <v>283806.2700000001</v>
      </c>
      <c r="N271" s="349">
        <f>+O271-K271-L271-M271</f>
        <v>435960.89999999985</v>
      </c>
      <c r="O271" s="349">
        <f>+O272+O273+O274+O275+O276+O277+O278+O279</f>
        <v>1073886.73</v>
      </c>
      <c r="P271" s="349">
        <f>+H271-O271</f>
        <v>406113.27</v>
      </c>
    </row>
    <row r="272" spans="1:16" ht="26.25">
      <c r="A272" s="132"/>
      <c r="B272" s="119">
        <v>1</v>
      </c>
      <c r="C272" s="177" t="s">
        <v>283</v>
      </c>
      <c r="D272" s="5">
        <v>0</v>
      </c>
      <c r="E272" s="6"/>
      <c r="F272" s="5">
        <v>4541</v>
      </c>
      <c r="G272" s="51">
        <v>395459</v>
      </c>
      <c r="H272" s="24">
        <v>400000</v>
      </c>
      <c r="I272" s="191">
        <v>400000</v>
      </c>
      <c r="K272" s="302">
        <v>80882.03</v>
      </c>
      <c r="L272" s="353">
        <v>0</v>
      </c>
      <c r="M272" s="353">
        <v>18111.89</v>
      </c>
      <c r="N272" s="354">
        <f>+O272-K272-L272-M272</f>
        <v>127539.50000000001</v>
      </c>
      <c r="O272" s="354">
        <f>225604.42+929</f>
        <v>226533.42</v>
      </c>
      <c r="P272" s="354">
        <f>+H272-O272</f>
        <v>173466.58</v>
      </c>
    </row>
    <row r="273" spans="1:16" ht="15">
      <c r="A273" s="132"/>
      <c r="B273" s="120">
        <v>2</v>
      </c>
      <c r="C273" s="31" t="s">
        <v>35</v>
      </c>
      <c r="D273" s="54">
        <v>0</v>
      </c>
      <c r="E273" s="53"/>
      <c r="F273" s="54">
        <v>0</v>
      </c>
      <c r="G273" s="53">
        <v>80000</v>
      </c>
      <c r="H273" s="54">
        <v>80000</v>
      </c>
      <c r="I273" s="192">
        <v>80000</v>
      </c>
      <c r="K273" s="303">
        <v>0</v>
      </c>
      <c r="L273" s="353">
        <v>0</v>
      </c>
      <c r="M273" s="353">
        <v>60387.2</v>
      </c>
      <c r="N273" s="387">
        <f aca="true" t="shared" si="44" ref="N273:N279">+O273-K273-L273-M273</f>
        <v>19611.199999999997</v>
      </c>
      <c r="O273" s="355">
        <v>79998.4</v>
      </c>
      <c r="P273" s="387">
        <f aca="true" t="shared" si="45" ref="P273:P279">+H273-O273</f>
        <v>1.6000000000058208</v>
      </c>
    </row>
    <row r="274" spans="1:16" ht="15">
      <c r="A274" s="132"/>
      <c r="B274" s="120">
        <v>6</v>
      </c>
      <c r="C274" s="33" t="s">
        <v>36</v>
      </c>
      <c r="D274" s="5">
        <v>0</v>
      </c>
      <c r="E274" s="6"/>
      <c r="F274" s="5">
        <v>0</v>
      </c>
      <c r="G274" s="21">
        <v>300000</v>
      </c>
      <c r="H274" s="20">
        <v>300000</v>
      </c>
      <c r="I274" s="192">
        <v>300000</v>
      </c>
      <c r="K274" s="303">
        <v>0</v>
      </c>
      <c r="L274" s="353">
        <v>6597.47</v>
      </c>
      <c r="M274" s="353">
        <v>0</v>
      </c>
      <c r="N274" s="387">
        <f t="shared" si="44"/>
        <v>136659.73</v>
      </c>
      <c r="O274" s="355">
        <v>143257.2</v>
      </c>
      <c r="P274" s="387">
        <f t="shared" si="45"/>
        <v>156742.8</v>
      </c>
    </row>
    <row r="275" spans="1:16" ht="15">
      <c r="A275" s="132"/>
      <c r="B275" s="120">
        <v>8</v>
      </c>
      <c r="C275" s="9" t="s">
        <v>37</v>
      </c>
      <c r="D275" s="55">
        <v>0</v>
      </c>
      <c r="E275" s="56"/>
      <c r="F275" s="55">
        <v>0</v>
      </c>
      <c r="G275" s="56">
        <v>50000</v>
      </c>
      <c r="H275" s="55">
        <v>50000</v>
      </c>
      <c r="I275" s="192">
        <v>50000</v>
      </c>
      <c r="K275" s="303">
        <v>0</v>
      </c>
      <c r="L275" s="353">
        <v>0</v>
      </c>
      <c r="M275" s="353">
        <v>22430</v>
      </c>
      <c r="N275" s="387">
        <f t="shared" si="44"/>
        <v>0</v>
      </c>
      <c r="O275" s="355">
        <v>22430</v>
      </c>
      <c r="P275" s="387">
        <f t="shared" si="45"/>
        <v>27570</v>
      </c>
    </row>
    <row r="276" spans="1:16" ht="15">
      <c r="A276" s="132"/>
      <c r="B276" s="120">
        <v>9</v>
      </c>
      <c r="C276" s="13" t="s">
        <v>38</v>
      </c>
      <c r="D276" s="54">
        <v>0</v>
      </c>
      <c r="E276" s="53"/>
      <c r="F276" s="54">
        <v>0</v>
      </c>
      <c r="G276" s="53">
        <v>50000</v>
      </c>
      <c r="H276" s="54">
        <v>50000</v>
      </c>
      <c r="I276" s="192">
        <v>50000</v>
      </c>
      <c r="K276" s="303">
        <v>0</v>
      </c>
      <c r="L276" s="353">
        <v>50000</v>
      </c>
      <c r="M276" s="353">
        <v>0</v>
      </c>
      <c r="N276" s="387">
        <f t="shared" si="44"/>
        <v>0</v>
      </c>
      <c r="O276" s="355">
        <v>50000</v>
      </c>
      <c r="P276" s="387">
        <f t="shared" si="45"/>
        <v>0</v>
      </c>
    </row>
    <row r="277" spans="1:16" ht="15">
      <c r="A277" s="132"/>
      <c r="B277" s="120">
        <v>12</v>
      </c>
      <c r="C277" s="33" t="s">
        <v>284</v>
      </c>
      <c r="D277" s="54">
        <v>0</v>
      </c>
      <c r="E277" s="53"/>
      <c r="F277" s="54">
        <v>0</v>
      </c>
      <c r="G277" s="21">
        <v>200000</v>
      </c>
      <c r="H277" s="20">
        <v>200000</v>
      </c>
      <c r="I277" s="192">
        <v>200000</v>
      </c>
      <c r="K277" s="303">
        <v>33000</v>
      </c>
      <c r="L277" s="353">
        <v>60000</v>
      </c>
      <c r="M277" s="353">
        <v>24009.660000000003</v>
      </c>
      <c r="N277" s="387">
        <f t="shared" si="44"/>
        <v>81802.26999999999</v>
      </c>
      <c r="O277" s="355">
        <v>198811.93</v>
      </c>
      <c r="P277" s="387">
        <f t="shared" si="45"/>
        <v>1188.070000000007</v>
      </c>
    </row>
    <row r="278" spans="1:16" ht="15">
      <c r="A278" s="132"/>
      <c r="B278" s="120">
        <v>13</v>
      </c>
      <c r="C278" s="33" t="s">
        <v>39</v>
      </c>
      <c r="D278" s="54">
        <v>0</v>
      </c>
      <c r="E278" s="53"/>
      <c r="F278" s="54">
        <v>0</v>
      </c>
      <c r="G278" s="21">
        <v>300000</v>
      </c>
      <c r="H278" s="20">
        <v>300000</v>
      </c>
      <c r="I278" s="192">
        <v>300000</v>
      </c>
      <c r="K278" s="303">
        <v>19695.2</v>
      </c>
      <c r="L278" s="353">
        <v>27315.179999999997</v>
      </c>
      <c r="M278" s="353">
        <v>150555.38999999998</v>
      </c>
      <c r="N278" s="387">
        <f t="shared" si="44"/>
        <v>55310.80000000002</v>
      </c>
      <c r="O278" s="355">
        <v>252876.57</v>
      </c>
      <c r="P278" s="387">
        <f t="shared" si="45"/>
        <v>47123.42999999999</v>
      </c>
    </row>
    <row r="279" spans="1:16" ht="15.75" thickBot="1">
      <c r="A279" s="132"/>
      <c r="B279" s="120">
        <v>14</v>
      </c>
      <c r="C279" s="178" t="s">
        <v>40</v>
      </c>
      <c r="D279" s="54">
        <v>0</v>
      </c>
      <c r="E279" s="53"/>
      <c r="F279" s="54">
        <v>0</v>
      </c>
      <c r="G279" s="21">
        <v>100000</v>
      </c>
      <c r="H279" s="20">
        <v>100000</v>
      </c>
      <c r="I279" s="192">
        <v>100000</v>
      </c>
      <c r="K279" s="356">
        <v>63323.64</v>
      </c>
      <c r="L279" s="353">
        <v>13306.039999999994</v>
      </c>
      <c r="M279" s="353">
        <v>8312.130000000005</v>
      </c>
      <c r="N279" s="387">
        <f t="shared" si="44"/>
        <v>15037.400000000009</v>
      </c>
      <c r="O279" s="357">
        <v>99979.21</v>
      </c>
      <c r="P279" s="387">
        <f t="shared" si="45"/>
        <v>20.789999999993597</v>
      </c>
    </row>
    <row r="280" spans="1:16" ht="15.75" thickBot="1">
      <c r="A280" s="131"/>
      <c r="B280" s="242" t="s">
        <v>193</v>
      </c>
      <c r="C280" s="223" t="s">
        <v>146</v>
      </c>
      <c r="D280" s="222">
        <v>6450</v>
      </c>
      <c r="E280" s="231"/>
      <c r="F280" s="220"/>
      <c r="G280" s="221">
        <v>210000</v>
      </c>
      <c r="H280" s="226">
        <f>+G280+D280</f>
        <v>216450</v>
      </c>
      <c r="I280" s="216">
        <v>210000</v>
      </c>
      <c r="J280" s="235"/>
      <c r="K280" s="348">
        <v>31880</v>
      </c>
      <c r="L280" s="349">
        <v>34945</v>
      </c>
      <c r="M280" s="349">
        <v>96650</v>
      </c>
      <c r="N280" s="349">
        <f>+O280-K280-L280-M280</f>
        <v>47690</v>
      </c>
      <c r="O280" s="349">
        <f>6450+204715</f>
        <v>211165</v>
      </c>
      <c r="P280" s="349">
        <f>+H280-O280</f>
        <v>5285</v>
      </c>
    </row>
    <row r="281" ht="15">
      <c r="I281" s="181"/>
    </row>
    <row r="282" spans="2:11" ht="16.5">
      <c r="B282" s="292" t="s">
        <v>305</v>
      </c>
      <c r="C282" s="292"/>
      <c r="D282" s="292"/>
      <c r="E282" s="418"/>
      <c r="F282" s="418"/>
      <c r="G282" s="418"/>
      <c r="H282" s="292"/>
      <c r="I282" s="293"/>
      <c r="J282" s="292"/>
      <c r="K282" s="293"/>
    </row>
    <row r="283" spans="2:11" ht="16.5">
      <c r="B283" s="292"/>
      <c r="C283" s="292"/>
      <c r="D283" s="292"/>
      <c r="E283" s="294"/>
      <c r="F283" s="294"/>
      <c r="G283" s="295"/>
      <c r="H283" s="292"/>
      <c r="I283" s="293"/>
      <c r="J283" s="296"/>
      <c r="K283" s="293"/>
    </row>
    <row r="284" spans="1:15" ht="18">
      <c r="A284" s="58">
        <v>1</v>
      </c>
      <c r="B284" s="297" t="s">
        <v>307</v>
      </c>
      <c r="C284" s="292"/>
      <c r="D284" s="292"/>
      <c r="E284" s="298"/>
      <c r="F284" s="298"/>
      <c r="G284" s="298"/>
      <c r="H284" s="299"/>
      <c r="I284" s="300"/>
      <c r="J284" s="299"/>
      <c r="K284" s="300"/>
      <c r="L284" s="288"/>
      <c r="M284" s="288"/>
      <c r="N284" s="288"/>
      <c r="O284" s="289"/>
    </row>
    <row r="285" spans="1:15" ht="16.5">
      <c r="A285" s="58"/>
      <c r="B285" s="409" t="s">
        <v>308</v>
      </c>
      <c r="C285" s="409"/>
      <c r="D285" s="409"/>
      <c r="E285" s="409"/>
      <c r="F285" s="409"/>
      <c r="G285" s="409"/>
      <c r="H285" s="409"/>
      <c r="I285" s="409"/>
      <c r="J285" s="409"/>
      <c r="K285" s="409"/>
      <c r="L285" s="288"/>
      <c r="M285" s="288"/>
      <c r="N285" s="288"/>
      <c r="O285" s="289"/>
    </row>
    <row r="286" spans="1:15" ht="15">
      <c r="A286" s="58"/>
      <c r="E286" s="288"/>
      <c r="F286" s="288"/>
      <c r="G286" s="288"/>
      <c r="H286" s="288"/>
      <c r="I286" s="288"/>
      <c r="J286" s="288"/>
      <c r="K286" s="289"/>
      <c r="L286" s="288"/>
      <c r="M286" s="288"/>
      <c r="N286" s="288"/>
      <c r="O286" s="289"/>
    </row>
    <row r="287" spans="1:15" ht="15">
      <c r="A287" s="58">
        <v>2</v>
      </c>
      <c r="B287" t="s">
        <v>309</v>
      </c>
      <c r="E287" s="288"/>
      <c r="F287" s="288"/>
      <c r="G287" s="288"/>
      <c r="H287" s="290"/>
      <c r="I287" s="288"/>
      <c r="J287" s="288"/>
      <c r="K287" s="289"/>
      <c r="L287" s="288"/>
      <c r="M287" s="288"/>
      <c r="N287" s="288"/>
      <c r="O287" s="289"/>
    </row>
    <row r="288" spans="1:15" ht="15">
      <c r="A288" s="58"/>
      <c r="B288" t="s">
        <v>310</v>
      </c>
      <c r="E288" s="288"/>
      <c r="F288" s="288"/>
      <c r="G288" s="288"/>
      <c r="H288" s="290"/>
      <c r="I288" s="288"/>
      <c r="J288" s="288"/>
      <c r="K288" s="289"/>
      <c r="L288" s="291"/>
      <c r="M288" s="291"/>
      <c r="N288" s="291"/>
      <c r="O288" s="289"/>
    </row>
    <row r="289" spans="1:15" ht="15">
      <c r="A289" s="58"/>
      <c r="E289" s="288"/>
      <c r="F289" s="288"/>
      <c r="G289" s="288"/>
      <c r="H289" s="290"/>
      <c r="I289" s="288"/>
      <c r="J289" s="288"/>
      <c r="K289" s="289"/>
      <c r="L289" s="291"/>
      <c r="M289" s="291"/>
      <c r="N289" s="291"/>
      <c r="O289" s="289"/>
    </row>
    <row r="290" spans="1:15" ht="15">
      <c r="A290" s="58">
        <v>3</v>
      </c>
      <c r="B290" t="s">
        <v>311</v>
      </c>
      <c r="E290" s="288"/>
      <c r="F290" s="288"/>
      <c r="G290" s="288"/>
      <c r="H290" s="290"/>
      <c r="I290" s="288"/>
      <c r="J290" s="288"/>
      <c r="K290" s="289"/>
      <c r="L290" s="291"/>
      <c r="M290" s="291"/>
      <c r="N290" s="291"/>
      <c r="O290" s="289"/>
    </row>
    <row r="291" spans="1:15" ht="15">
      <c r="A291" s="58"/>
      <c r="B291" t="s">
        <v>312</v>
      </c>
      <c r="E291" s="288"/>
      <c r="F291" s="288"/>
      <c r="G291" s="288"/>
      <c r="H291" s="290"/>
      <c r="I291" s="288"/>
      <c r="J291" s="288"/>
      <c r="K291" s="289"/>
      <c r="L291" s="291"/>
      <c r="M291" s="291"/>
      <c r="N291" s="291"/>
      <c r="O291" s="289"/>
    </row>
    <row r="292" spans="1:15" ht="15">
      <c r="A292" s="58"/>
      <c r="E292" s="288"/>
      <c r="F292" s="288"/>
      <c r="G292" s="288"/>
      <c r="H292" s="290"/>
      <c r="I292" s="288"/>
      <c r="J292" s="288"/>
      <c r="K292" s="289"/>
      <c r="L292" s="291"/>
      <c r="M292" s="291"/>
      <c r="N292" s="291"/>
      <c r="O292" s="289"/>
    </row>
    <row r="293" spans="1:15" ht="15">
      <c r="A293" s="58"/>
      <c r="B293" s="320"/>
      <c r="C293" s="321" t="s">
        <v>321</v>
      </c>
      <c r="D293" s="408" t="s">
        <v>294</v>
      </c>
      <c r="E293" s="288"/>
      <c r="F293" s="321" t="s">
        <v>317</v>
      </c>
      <c r="G293" s="321" t="s">
        <v>318</v>
      </c>
      <c r="H293" s="321" t="s">
        <v>319</v>
      </c>
      <c r="I293" s="321"/>
      <c r="J293" s="321"/>
      <c r="K293" s="408" t="s">
        <v>294</v>
      </c>
      <c r="L293" s="288"/>
      <c r="M293" s="288"/>
      <c r="N293" s="396"/>
      <c r="O293" s="289"/>
    </row>
    <row r="294" spans="1:15" ht="15">
      <c r="A294" s="58"/>
      <c r="B294" s="321">
        <v>1</v>
      </c>
      <c r="C294" s="322" t="s">
        <v>306</v>
      </c>
      <c r="D294" s="398">
        <f>+O245+O192+O12</f>
        <v>29420508.169999998</v>
      </c>
      <c r="E294" s="288"/>
      <c r="F294" s="403">
        <f>+O12</f>
        <v>4233808.44</v>
      </c>
      <c r="G294" s="403">
        <f>+O192</f>
        <v>6619157.17</v>
      </c>
      <c r="H294" s="404">
        <f>+O245</f>
        <v>18567542.56</v>
      </c>
      <c r="I294" s="320"/>
      <c r="J294" s="320"/>
      <c r="K294" s="406">
        <f aca="true" t="shared" si="46" ref="K294:K299">+F294+G294+H294</f>
        <v>29420508.169999998</v>
      </c>
      <c r="L294" s="288"/>
      <c r="M294" s="288"/>
      <c r="N294" s="396"/>
      <c r="O294" s="289"/>
    </row>
    <row r="295" spans="1:15" ht="15">
      <c r="A295" s="58"/>
      <c r="B295" s="321">
        <v>2</v>
      </c>
      <c r="C295" s="322" t="s">
        <v>295</v>
      </c>
      <c r="D295" s="398">
        <f>+O247+O14+O194</f>
        <v>11596092.059999999</v>
      </c>
      <c r="E295" s="288"/>
      <c r="F295" s="405">
        <v>7140807.59</v>
      </c>
      <c r="G295" s="405">
        <v>1180036.95</v>
      </c>
      <c r="H295" s="405">
        <v>3275247.52</v>
      </c>
      <c r="I295" s="405"/>
      <c r="J295" s="405"/>
      <c r="K295" s="406">
        <f t="shared" si="46"/>
        <v>11596092.06</v>
      </c>
      <c r="L295" s="288"/>
      <c r="M295" s="288"/>
      <c r="N295" s="396"/>
      <c r="O295" s="289"/>
    </row>
    <row r="296" spans="1:15" ht="15">
      <c r="A296" s="58"/>
      <c r="B296" s="321">
        <v>3</v>
      </c>
      <c r="C296" s="322" t="s">
        <v>296</v>
      </c>
      <c r="D296" s="398">
        <f>+O265+O223+O73</f>
        <v>1784546.5</v>
      </c>
      <c r="E296" s="288"/>
      <c r="F296" s="403">
        <f>+O73</f>
        <v>843524.12</v>
      </c>
      <c r="G296" s="403">
        <f>+O223</f>
        <v>321023.13</v>
      </c>
      <c r="H296" s="403">
        <f>+O265</f>
        <v>619999.25</v>
      </c>
      <c r="I296" s="320"/>
      <c r="J296" s="320"/>
      <c r="K296" s="406">
        <f t="shared" si="46"/>
        <v>1784546.5</v>
      </c>
      <c r="L296" s="288"/>
      <c r="M296" s="288"/>
      <c r="N296" s="396"/>
      <c r="O296" s="289"/>
    </row>
    <row r="297" spans="1:14" ht="15">
      <c r="A297" s="58"/>
      <c r="B297" s="321">
        <v>4</v>
      </c>
      <c r="C297" s="322" t="s">
        <v>297</v>
      </c>
      <c r="D297" s="398">
        <f>+O280+O243+O169</f>
        <v>1540269.42</v>
      </c>
      <c r="F297" s="403">
        <f>+O169</f>
        <v>1010777.97</v>
      </c>
      <c r="G297" s="403">
        <f>+O243</f>
        <v>318326.45</v>
      </c>
      <c r="H297" s="403">
        <f>+O280</f>
        <v>211165</v>
      </c>
      <c r="I297" s="320"/>
      <c r="J297" s="320"/>
      <c r="K297" s="406">
        <f t="shared" si="46"/>
        <v>1540269.42</v>
      </c>
      <c r="M297" s="179"/>
      <c r="N297" s="397"/>
    </row>
    <row r="298" spans="1:14" ht="15">
      <c r="A298" s="58"/>
      <c r="B298" s="321">
        <v>5</v>
      </c>
      <c r="C298" s="322" t="s">
        <v>298</v>
      </c>
      <c r="D298" s="398">
        <f>+O271+O229+O80</f>
        <v>12475951.66</v>
      </c>
      <c r="F298" s="404">
        <f>+O80</f>
        <v>10725396.92</v>
      </c>
      <c r="G298" s="403">
        <f>+O229</f>
        <v>676668.01</v>
      </c>
      <c r="H298" s="403">
        <f>+O271</f>
        <v>1073886.73</v>
      </c>
      <c r="I298" s="320"/>
      <c r="J298" s="320"/>
      <c r="K298" s="406">
        <f t="shared" si="46"/>
        <v>12475951.66</v>
      </c>
      <c r="M298" s="179"/>
      <c r="N298" s="397"/>
    </row>
    <row r="299" spans="1:11" ht="15">
      <c r="A299" s="58"/>
      <c r="B299" s="320"/>
      <c r="C299" s="321" t="s">
        <v>43</v>
      </c>
      <c r="D299" s="399">
        <f>SUM(D294:D298)</f>
        <v>56817367.81</v>
      </c>
      <c r="F299" s="407">
        <f>SUM(F294:F298)</f>
        <v>23954315.04</v>
      </c>
      <c r="G299" s="407">
        <f>SUM(G294:G298)</f>
        <v>9115211.709999999</v>
      </c>
      <c r="H299" s="407">
        <f>SUM(H294:H298)</f>
        <v>23747841.06</v>
      </c>
      <c r="I299" s="322"/>
      <c r="J299" s="322"/>
      <c r="K299" s="399">
        <f t="shared" si="46"/>
        <v>56817367.81</v>
      </c>
    </row>
    <row r="300" ht="15">
      <c r="A300" s="58"/>
    </row>
    <row r="302" ht="15">
      <c r="K302" s="394"/>
    </row>
  </sheetData>
  <sheetProtection/>
  <mergeCells count="13">
    <mergeCell ref="G1:H1"/>
    <mergeCell ref="A2:H2"/>
    <mergeCell ref="D3:H3"/>
    <mergeCell ref="A4:B5"/>
    <mergeCell ref="C4:C5"/>
    <mergeCell ref="D4:H4"/>
    <mergeCell ref="B285:K285"/>
    <mergeCell ref="A6:B6"/>
    <mergeCell ref="A9:B9"/>
    <mergeCell ref="B11:C11"/>
    <mergeCell ref="A12:A79"/>
    <mergeCell ref="A128:A162"/>
    <mergeCell ref="E282:G282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Eroll Raskova</cp:lastModifiedBy>
  <cp:lastPrinted>2019-01-29T14:32:18Z</cp:lastPrinted>
  <dcterms:created xsi:type="dcterms:W3CDTF">2009-02-25T12:11:13Z</dcterms:created>
  <dcterms:modified xsi:type="dcterms:W3CDTF">2019-01-29T14:32:43Z</dcterms:modified>
  <cp:category/>
  <cp:version/>
  <cp:contentType/>
  <cp:contentStatus/>
</cp:coreProperties>
</file>