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27495" windowHeight="13875"/>
  </bookViews>
  <sheets>
    <sheet name="Lista e lejeve të lëshuara për " sheetId="1" r:id="rId1"/>
  </sheets>
  <definedNames>
    <definedName name="_xlnm._FilterDatabase" localSheetId="0" hidden="1">'Lista e lejeve të lëshuara për '!$B$6:$M$220</definedName>
  </definedNames>
  <calcPr calcId="145621"/>
</workbook>
</file>

<file path=xl/calcChain.xml><?xml version="1.0" encoding="utf-8"?>
<calcChain xmlns="http://schemas.openxmlformats.org/spreadsheetml/2006/main">
  <c r="J222" i="1" l="1"/>
  <c r="I222" i="1"/>
  <c r="H222" i="1"/>
  <c r="K21" i="1" l="1"/>
  <c r="K22" i="1"/>
  <c r="K23" i="1"/>
  <c r="K24" i="1"/>
  <c r="K25" i="1"/>
  <c r="K26" i="1"/>
  <c r="K27" i="1"/>
  <c r="K28" i="1"/>
  <c r="K29" i="1"/>
  <c r="K30" i="1"/>
  <c r="K18" i="1"/>
  <c r="K17" i="1"/>
  <c r="K31" i="1" l="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222" i="1" l="1"/>
  <c r="K98" i="1"/>
  <c r="O97" i="1"/>
  <c r="N97" i="1"/>
  <c r="K97" i="1"/>
  <c r="O96" i="1"/>
  <c r="N96" i="1"/>
  <c r="K96" i="1"/>
  <c r="K95" i="1"/>
  <c r="K94" i="1"/>
  <c r="O93" i="1"/>
  <c r="N93" i="1"/>
  <c r="K93" i="1"/>
  <c r="O92" i="1"/>
  <c r="N92" i="1"/>
  <c r="K92" i="1"/>
  <c r="O91" i="1"/>
  <c r="N91" i="1"/>
  <c r="K91" i="1"/>
  <c r="O90" i="1"/>
  <c r="N90" i="1"/>
  <c r="K90" i="1"/>
  <c r="O89" i="1"/>
  <c r="N89" i="1"/>
  <c r="K89" i="1"/>
  <c r="O88" i="1"/>
  <c r="N88" i="1"/>
  <c r="K88" i="1"/>
  <c r="K87" i="1"/>
  <c r="K86" i="1"/>
  <c r="O85" i="1"/>
  <c r="N85" i="1"/>
  <c r="K85" i="1"/>
  <c r="K84" i="1"/>
  <c r="O83" i="1"/>
  <c r="N83" i="1"/>
  <c r="K83" i="1"/>
  <c r="K82" i="1"/>
  <c r="K81" i="1"/>
  <c r="K80" i="1"/>
  <c r="O78" i="1"/>
  <c r="N78" i="1"/>
  <c r="K78" i="1"/>
  <c r="O77" i="1"/>
  <c r="N77" i="1"/>
  <c r="K77" i="1"/>
  <c r="O76" i="1"/>
  <c r="N76" i="1"/>
  <c r="K76" i="1"/>
  <c r="O75" i="1"/>
  <c r="N75" i="1"/>
  <c r="K75" i="1"/>
  <c r="O74" i="1"/>
  <c r="N74" i="1"/>
  <c r="K74" i="1"/>
  <c r="O73" i="1"/>
  <c r="N73" i="1"/>
  <c r="K73" i="1"/>
  <c r="K148" i="1" l="1"/>
  <c r="N128" i="1" l="1"/>
  <c r="K119" i="1"/>
  <c r="K120" i="1"/>
  <c r="K121" i="1"/>
  <c r="K122" i="1"/>
  <c r="K123" i="1"/>
  <c r="K124" i="1"/>
  <c r="K125" i="1"/>
  <c r="K126" i="1"/>
  <c r="K127" i="1"/>
  <c r="K128" i="1"/>
  <c r="K129" i="1"/>
  <c r="K130" i="1"/>
  <c r="K131" i="1"/>
  <c r="K132" i="1"/>
  <c r="K133" i="1"/>
  <c r="K134" i="1"/>
  <c r="K135" i="1"/>
  <c r="K136" i="1"/>
  <c r="K137" i="1"/>
  <c r="K138" i="1"/>
  <c r="K139" i="1"/>
  <c r="K140" i="1"/>
  <c r="K141" i="1"/>
  <c r="K142" i="1"/>
  <c r="K118" i="1"/>
  <c r="K112" i="1"/>
  <c r="K113" i="1"/>
  <c r="K114" i="1"/>
  <c r="K115" i="1"/>
  <c r="K116" i="1"/>
  <c r="K111" i="1"/>
  <c r="K100" i="1"/>
  <c r="K101" i="1"/>
  <c r="K102" i="1"/>
  <c r="K103" i="1"/>
  <c r="K104" i="1"/>
  <c r="K105" i="1"/>
  <c r="K106" i="1"/>
  <c r="K107" i="1"/>
  <c r="K108" i="1"/>
  <c r="K109" i="1"/>
  <c r="K99" i="1"/>
  <c r="N220" i="1"/>
  <c r="N123" i="1" l="1"/>
  <c r="O123" i="1"/>
  <c r="N124" i="1"/>
  <c r="O124" i="1"/>
  <c r="N125" i="1"/>
  <c r="O125" i="1"/>
  <c r="N126" i="1"/>
  <c r="O126" i="1"/>
  <c r="N127" i="1"/>
  <c r="O127" i="1"/>
  <c r="O128" i="1"/>
  <c r="N129" i="1"/>
  <c r="O129" i="1"/>
  <c r="N130" i="1"/>
  <c r="O130" i="1"/>
  <c r="N131" i="1"/>
  <c r="O131" i="1"/>
  <c r="N132" i="1"/>
  <c r="O132" i="1"/>
  <c r="N133" i="1"/>
  <c r="O133" i="1"/>
  <c r="N134" i="1"/>
  <c r="O134" i="1"/>
  <c r="N135" i="1"/>
  <c r="O135" i="1"/>
  <c r="N136" i="1"/>
  <c r="O136" i="1"/>
  <c r="N137" i="1"/>
  <c r="O137" i="1"/>
  <c r="N138" i="1"/>
  <c r="O138" i="1"/>
  <c r="N139" i="1"/>
  <c r="O139" i="1"/>
  <c r="N140" i="1"/>
  <c r="O140" i="1"/>
  <c r="N141" i="1"/>
  <c r="O141" i="1"/>
  <c r="N142" i="1"/>
  <c r="O142" i="1"/>
  <c r="N143" i="1"/>
  <c r="O143" i="1"/>
  <c r="K144" i="1"/>
  <c r="N144" i="1"/>
  <c r="O144" i="1"/>
  <c r="K145" i="1"/>
  <c r="N145" i="1"/>
  <c r="O145" i="1"/>
  <c r="K147" i="1"/>
  <c r="N147" i="1"/>
  <c r="O147" i="1"/>
  <c r="K149" i="1"/>
  <c r="N149" i="1"/>
  <c r="O149" i="1"/>
  <c r="K150" i="1"/>
  <c r="N150" i="1"/>
  <c r="O150" i="1"/>
  <c r="K151" i="1"/>
  <c r="N151" i="1"/>
  <c r="O151" i="1"/>
  <c r="K152" i="1"/>
  <c r="N152" i="1"/>
  <c r="O152" i="1"/>
  <c r="K153" i="1"/>
  <c r="N153" i="1"/>
  <c r="O153" i="1"/>
  <c r="K154" i="1"/>
  <c r="N154" i="1"/>
  <c r="O154" i="1"/>
  <c r="N155" i="1"/>
  <c r="O155" i="1"/>
  <c r="K156" i="1"/>
  <c r="N156" i="1"/>
  <c r="O156" i="1"/>
  <c r="K157" i="1"/>
  <c r="N157" i="1"/>
  <c r="O157" i="1"/>
  <c r="K158" i="1"/>
  <c r="N158" i="1"/>
  <c r="O158" i="1"/>
  <c r="N159" i="1"/>
  <c r="O159" i="1"/>
  <c r="K160" i="1"/>
  <c r="N160" i="1"/>
  <c r="O160" i="1"/>
  <c r="K161" i="1"/>
  <c r="N161" i="1"/>
  <c r="O161" i="1"/>
  <c r="K163" i="1"/>
  <c r="N163" i="1"/>
  <c r="O163" i="1"/>
  <c r="K164" i="1"/>
  <c r="N164" i="1"/>
  <c r="O164" i="1"/>
  <c r="K165" i="1"/>
  <c r="N165" i="1"/>
  <c r="O165" i="1"/>
  <c r="K166" i="1"/>
  <c r="N166" i="1"/>
  <c r="O166" i="1"/>
  <c r="N167" i="1"/>
  <c r="O167" i="1"/>
  <c r="K168" i="1"/>
  <c r="N168" i="1"/>
  <c r="O168" i="1"/>
  <c r="K169" i="1"/>
  <c r="N169" i="1"/>
  <c r="O169" i="1"/>
  <c r="K170" i="1"/>
  <c r="N170" i="1"/>
  <c r="O170" i="1"/>
  <c r="K173" i="1"/>
  <c r="N173" i="1"/>
  <c r="O173" i="1"/>
  <c r="K174" i="1"/>
  <c r="N174" i="1"/>
  <c r="O174" i="1"/>
  <c r="K175" i="1"/>
  <c r="N175" i="1"/>
  <c r="O175" i="1"/>
  <c r="K178" i="1"/>
  <c r="N178" i="1"/>
  <c r="O178" i="1"/>
  <c r="K179" i="1"/>
  <c r="N179" i="1"/>
  <c r="O179" i="1"/>
  <c r="K180" i="1"/>
  <c r="N180" i="1"/>
  <c r="O180" i="1"/>
  <c r="K181" i="1"/>
  <c r="N181" i="1"/>
  <c r="O181" i="1"/>
  <c r="K182" i="1"/>
  <c r="N182" i="1"/>
  <c r="O182" i="1"/>
  <c r="K183" i="1"/>
  <c r="N183" i="1"/>
  <c r="O183" i="1"/>
  <c r="K184" i="1"/>
  <c r="N184" i="1"/>
  <c r="O184" i="1"/>
  <c r="K185" i="1"/>
  <c r="N185" i="1"/>
  <c r="O185" i="1"/>
  <c r="K186" i="1"/>
  <c r="N186" i="1"/>
  <c r="O186" i="1"/>
  <c r="K187" i="1"/>
  <c r="N187" i="1"/>
  <c r="O187" i="1"/>
  <c r="K188" i="1"/>
  <c r="N188" i="1"/>
  <c r="O188" i="1"/>
  <c r="K191" i="1"/>
  <c r="N191" i="1"/>
  <c r="O191" i="1"/>
  <c r="K192" i="1"/>
  <c r="N192" i="1"/>
  <c r="O192" i="1"/>
  <c r="N195" i="1"/>
  <c r="O195" i="1"/>
  <c r="K196" i="1"/>
  <c r="N196" i="1"/>
  <c r="O196" i="1"/>
  <c r="K197" i="1"/>
  <c r="N197" i="1"/>
  <c r="O197" i="1"/>
  <c r="K198" i="1"/>
  <c r="N198" i="1"/>
  <c r="O198" i="1"/>
  <c r="K200" i="1"/>
  <c r="N200" i="1"/>
  <c r="O200" i="1"/>
  <c r="K205" i="1"/>
  <c r="N205" i="1"/>
  <c r="O205" i="1"/>
  <c r="K206" i="1"/>
  <c r="N206" i="1"/>
  <c r="O206" i="1"/>
  <c r="K207" i="1"/>
  <c r="N207" i="1"/>
  <c r="O207" i="1"/>
  <c r="K208" i="1"/>
  <c r="N208" i="1"/>
  <c r="O208" i="1"/>
  <c r="K209" i="1"/>
  <c r="N209" i="1"/>
  <c r="O209" i="1"/>
  <c r="K210" i="1"/>
  <c r="N210" i="1"/>
  <c r="O210" i="1"/>
  <c r="K211" i="1"/>
  <c r="N211" i="1"/>
  <c r="O211" i="1"/>
  <c r="K212" i="1"/>
  <c r="N212" i="1"/>
  <c r="O212" i="1"/>
  <c r="K214" i="1"/>
  <c r="N214" i="1"/>
  <c r="O214" i="1"/>
  <c r="K215" i="1"/>
  <c r="N215" i="1"/>
  <c r="O215" i="1"/>
  <c r="N219" i="1"/>
  <c r="O219" i="1"/>
  <c r="K220" i="1"/>
  <c r="O220" i="1"/>
</calcChain>
</file>

<file path=xl/sharedStrings.xml><?xml version="1.0" encoding="utf-8"?>
<sst xmlns="http://schemas.openxmlformats.org/spreadsheetml/2006/main" count="1823" uniqueCount="899">
  <si>
    <t>Komuna e Prishtinës - Drejtoria e Urbanizmit - Lejet e lëshuara 2018</t>
  </si>
  <si>
    <t>Qytetarë të nderuar, këtu i keni të gjitha lejet e lëshuara për vitin 2018. Nëse nuk gjendet ndonjë leje në këtë tabelë, atëherë ndërtimi për të cilin ju intereson nuk ka leje ose është në proces të lejës.</t>
  </si>
  <si>
    <r>
      <rPr>
        <b/>
        <sz val="12"/>
        <rFont val="Arial"/>
        <family val="2"/>
      </rPr>
      <t>Koment:</t>
    </r>
    <r>
      <rPr>
        <b/>
        <sz val="12"/>
        <color rgb="FFFF0000"/>
        <rFont val="Arial"/>
        <family val="2"/>
      </rPr>
      <t>Të gjitha Lejet e Lëshuara prej dt. 16.05.2017 janë llogaritur në bazë të Rregullores së re mbi Taksën Administrative për dhënien e Lejes së Ndërtimit dhe Tarifën për rregullimin e Infrastrukturës</t>
    </r>
  </si>
  <si>
    <t>#</t>
  </si>
  <si>
    <t>Data e aplikimit të lejes</t>
  </si>
  <si>
    <t>Data e lëshimit të lejes</t>
  </si>
  <si>
    <t>Pronari / Pronarët (Përfaqësuesi)</t>
  </si>
  <si>
    <t>Kompania / Investitori</t>
  </si>
  <si>
    <t>Projektuesi</t>
  </si>
  <si>
    <t>Lagja</t>
  </si>
  <si>
    <t>Pagesa totale e lejës së lëshuar</t>
  </si>
  <si>
    <t>Etazhiteti i objektit</t>
  </si>
  <si>
    <t>Destinimi i objektit</t>
  </si>
  <si>
    <t>Dokumenti në PDF i lejës së lëshuar</t>
  </si>
  <si>
    <t>Situacioni</t>
  </si>
  <si>
    <t>17.01.2018</t>
  </si>
  <si>
    <t>27.03.2018</t>
  </si>
  <si>
    <t>Merita Syla</t>
  </si>
  <si>
    <t>N.P.SH "GEGIS"</t>
  </si>
  <si>
    <t>Lebanë</t>
  </si>
  <si>
    <t>P+0</t>
  </si>
  <si>
    <t>Objekt Bujqësorë</t>
  </si>
  <si>
    <t>27.04.2018</t>
  </si>
  <si>
    <t>"Pozhegu Brothers" sh.p.k. Elhame Pllana, Albane Smajli, Hamzi Kurteshi, Jeton, Hasan, Habim, Sebush dhe Hasim Dërmaku, Alush Zariqi, Jahir Ahmeti, Brahim Buzuku, Feti Gashi, hysen Hajdini, Habib Leci, &amp; Fadil Grajçevci</t>
  </si>
  <si>
    <t>"Pozhegu Brothers" sh.p.k</t>
  </si>
  <si>
    <t>Mati 1</t>
  </si>
  <si>
    <t>2B+P+4,       2B+P+7              &amp;                       2B+P+9</t>
  </si>
  <si>
    <t xml:space="preserve">
Objekte Shumëbanesore - Afariste</t>
  </si>
  <si>
    <t>16.11.2017</t>
  </si>
  <si>
    <t>26.03.2018</t>
  </si>
  <si>
    <t>Fahri Zejnullahu &amp; Jakup Havolli</t>
  </si>
  <si>
    <t>N.SH "Infected Architecture" sh.p.k</t>
  </si>
  <si>
    <t>Zona Ekonomike</t>
  </si>
  <si>
    <t>P+1</t>
  </si>
  <si>
    <t>Objekt Afarist</t>
  </si>
  <si>
    <t>18.12.2017</t>
  </si>
  <si>
    <t>22.03.2018</t>
  </si>
  <si>
    <t>Valton Latifi &amp; Olsa Alku-Latifi</t>
  </si>
  <si>
    <t>N.T.P "Pro Joni"</t>
  </si>
  <si>
    <t>Prishtina e Re - Zona Perëndim</t>
  </si>
  <si>
    <t>B+P+1</t>
  </si>
  <si>
    <t>Objekt Individual</t>
  </si>
  <si>
    <t>13.09.2017</t>
  </si>
  <si>
    <t>21.03.2018</t>
  </si>
  <si>
    <t>Faik dhe Veli Rafuna, Arta, Kroni dhe Klea Kllokoqi, Agim, Besim dhe Demë Korça &amp; Sami Pajaziti</t>
  </si>
  <si>
    <t>"Baruti Group" sh.p.k</t>
  </si>
  <si>
    <t>"P-Delta" sh.p.k</t>
  </si>
  <si>
    <t>Matiçan</t>
  </si>
  <si>
    <t>B+S+P+5,     B+S+P+5 &amp;       B+S+P+5</t>
  </si>
  <si>
    <t>24.11.2017</t>
  </si>
  <si>
    <t>Ferat dhe Latif Zariqi &amp; Ali Raçi</t>
  </si>
  <si>
    <t>N.T.P "Pushkolli"</t>
  </si>
  <si>
    <t>N.N.SH "Vizion Project"</t>
  </si>
  <si>
    <t>Arbëria 3</t>
  </si>
  <si>
    <t>B+P+5</t>
  </si>
  <si>
    <t>Objekt Shumëbanesorë - Afarist</t>
  </si>
  <si>
    <t>04.10.2017</t>
  </si>
  <si>
    <t>20.03.2018</t>
  </si>
  <si>
    <t>Rezeart Galica</t>
  </si>
  <si>
    <t>"L&amp;A Architects" sh.p.k</t>
  </si>
  <si>
    <t>B+P+2</t>
  </si>
  <si>
    <t>11.08.2017</t>
  </si>
  <si>
    <t>19.03.2018</t>
  </si>
  <si>
    <t>"Roksped" sh.p.k</t>
  </si>
  <si>
    <t>N.P.N "Smart Project"</t>
  </si>
  <si>
    <t>Sofali</t>
  </si>
  <si>
    <t>B+P+1 (x20)</t>
  </si>
  <si>
    <t>Objekte Individuale</t>
  </si>
  <si>
    <t>24.07.2017</t>
  </si>
  <si>
    <t>"P.SH Ujrat"</t>
  </si>
  <si>
    <t>Adnan Berisha</t>
  </si>
  <si>
    <t>Llukar</t>
  </si>
  <si>
    <t>-</t>
  </si>
  <si>
    <t>Urë</t>
  </si>
  <si>
    <t>23.01.2018</t>
  </si>
  <si>
    <t>Iljasa Fazliu, Ibrahim Kuka, Mehdi Begolli, Bekim Vokshi, Selatin Morina, Muharrem Morina, Skender Morina, Izet Krasniqi, Elez Krasniqi, Agron Krasniqi, Alban Gashi &amp; Nadije Morina Kuçi</t>
  </si>
  <si>
    <t>N.T.N "Miri" sh.p.k                &amp;                                  "Ada Consulting Group" sh.p.k</t>
  </si>
  <si>
    <t>"KM group" sh.p.k</t>
  </si>
  <si>
    <t>2B+2S+P+7</t>
  </si>
  <si>
    <t>03.02.2017</t>
  </si>
  <si>
    <t>14.03.2018</t>
  </si>
  <si>
    <t>Ali Gashi</t>
  </si>
  <si>
    <t>"Naki Trade" sh.p.k</t>
  </si>
  <si>
    <t>N.P.N "Euro Projekt"</t>
  </si>
  <si>
    <t>B+S+P+4</t>
  </si>
  <si>
    <t>13.12.2017</t>
  </si>
  <si>
    <t>Avni Gashi, Flurim Jasiqi, Nikë Shala, Besim Drenica &amp; Erhan Bekteshi</t>
  </si>
  <si>
    <t>"Liridoni Construction" sh.p.k</t>
  </si>
  <si>
    <t>"Arcadis" sh.p.k</t>
  </si>
  <si>
    <t>Prishtina e Re - Zona Qendër</t>
  </si>
  <si>
    <t>2B+P+8</t>
  </si>
  <si>
    <t>01.12.2017</t>
  </si>
  <si>
    <t>08.03.2018</t>
  </si>
  <si>
    <t>Elisabete Koch</t>
  </si>
  <si>
    <t>"U - Architects"</t>
  </si>
  <si>
    <t>Hajvali</t>
  </si>
  <si>
    <t>27.06.2017</t>
  </si>
  <si>
    <t>Arben Morina</t>
  </si>
  <si>
    <t>N.P.N "GM - Architecture"</t>
  </si>
  <si>
    <t>11.01.2018</t>
  </si>
  <si>
    <t>05.03.2018</t>
  </si>
  <si>
    <t>Bardhyl Noci &amp; Jeta Deva</t>
  </si>
  <si>
    <t>"Aek - Group" sh.p.k</t>
  </si>
  <si>
    <t>Zllatarë</t>
  </si>
  <si>
    <t>06.04.2017</t>
  </si>
  <si>
    <t>27.02.2018</t>
  </si>
  <si>
    <t>Shefqet Cakolli</t>
  </si>
  <si>
    <t>"VG Construction Plus" sh.p.k</t>
  </si>
  <si>
    <t>"Shpëtim Berisha Architect" sh.p.k</t>
  </si>
  <si>
    <t>2B+P+8, 3B+P+8,      3B+P+8</t>
  </si>
  <si>
    <t>07.06.2017</t>
  </si>
  <si>
    <t>22.02.2018</t>
  </si>
  <si>
    <t>Gani Sopjani</t>
  </si>
  <si>
    <t>"Arcadis Construction" sh.p.k</t>
  </si>
  <si>
    <t>04.07.2017</t>
  </si>
  <si>
    <t>20.02.2018</t>
  </si>
  <si>
    <t>Fikrije Pashalli &amp; Fehmi Shala</t>
  </si>
  <si>
    <t>"Lesna" sh.p.k</t>
  </si>
  <si>
    <t>"Urban Plus" sh.p.k</t>
  </si>
  <si>
    <t>Kalabria</t>
  </si>
  <si>
    <t>B+S+P+7, B+S+P+7, B+S+P+1</t>
  </si>
  <si>
    <t>Taksa për rritjen e densitetit per Llamellën 1 &amp; 2</t>
  </si>
  <si>
    <t>15.11.2017</t>
  </si>
  <si>
    <t>16.02.2018</t>
  </si>
  <si>
    <t>Ministria e Administratës Publike - Departamentit të Standardeve dhe Politikave të të Inxhinieringut dhe Menaxhimit të Ndërtesave Qeveritare</t>
  </si>
  <si>
    <t>Qeveria e Republikës së Kosovës</t>
  </si>
  <si>
    <t>"ALB-Architect" sh.p.k</t>
  </si>
  <si>
    <t>Lirohet nga pagesa</t>
  </si>
  <si>
    <t>B+P+3</t>
  </si>
  <si>
    <t>Objekt i Qeverisë</t>
  </si>
  <si>
    <t>30.10.2017</t>
  </si>
  <si>
    <t>14.02.2018</t>
  </si>
  <si>
    <t>Laura Kryeziu</t>
  </si>
  <si>
    <t>"Puka Design" sh.p.k</t>
  </si>
  <si>
    <t>02.10.2017</t>
  </si>
  <si>
    <t>12.02.2018</t>
  </si>
  <si>
    <t>Flamur Novosella</t>
  </si>
  <si>
    <t>"ART-INVEST" sh.p.k</t>
  </si>
  <si>
    <t>3B+P+8</t>
  </si>
  <si>
    <t>21.12.2017</t>
  </si>
  <si>
    <t>07.02.2018</t>
  </si>
  <si>
    <t>Asllan Aziri, Ujup Haziri, Xhavit Haziri, Remzi Haziri, Afrim Haziri, Agron Krliju &amp; Besnik Haziri</t>
  </si>
  <si>
    <t>"Cima" sh.p.k</t>
  </si>
  <si>
    <t>"Euro Projekt"</t>
  </si>
  <si>
    <t>2B+P+7+Ph, 2B+P+7+Ph</t>
  </si>
  <si>
    <t>21.08.2017</t>
  </si>
  <si>
    <t>06.02.2018</t>
  </si>
  <si>
    <t>"Tregtia" sh.p.k</t>
  </si>
  <si>
    <t>-4B+P+7, -4B+P+10, -2B+P+10, -2B+P+6,   G1+G2</t>
  </si>
  <si>
    <t>Taksa për rritjen e densitetit per Llamellën 1, 2, 3 &amp; 4</t>
  </si>
  <si>
    <t>26.10.2018</t>
  </si>
  <si>
    <t>02.02.2018</t>
  </si>
  <si>
    <t>Selman Kllokoqi</t>
  </si>
  <si>
    <t>"Koni Projekt" sh.p.k</t>
  </si>
  <si>
    <t>12.01.2017</t>
  </si>
  <si>
    <t>Naim Murati, Qamil Hajrizi &amp; Agron Stublla</t>
  </si>
  <si>
    <t>3B+P+9</t>
  </si>
  <si>
    <t>Ndërrim Destinimi</t>
  </si>
  <si>
    <t>30.11.2017</t>
  </si>
  <si>
    <t>19.01.2018</t>
  </si>
  <si>
    <t>Vedat Humolli</t>
  </si>
  <si>
    <t>SH.P.K "Arcadis Construction"</t>
  </si>
  <si>
    <t>Lupç i Poshtëm</t>
  </si>
  <si>
    <t>Objekt i pëkohshëm - Depo</t>
  </si>
  <si>
    <t>22.08.2017</t>
  </si>
  <si>
    <t>"Kulla Project" L.L.C</t>
  </si>
  <si>
    <t>Nishec</t>
  </si>
  <si>
    <t>15.12.2017</t>
  </si>
  <si>
    <t>Ali Kengji</t>
  </si>
  <si>
    <t>SH.P.K "AB GROUP"</t>
  </si>
  <si>
    <t>Qendër</t>
  </si>
  <si>
    <t>12.12.2016</t>
  </si>
  <si>
    <t>15.01.2018</t>
  </si>
  <si>
    <t>"ENK Invest Group" sh.a</t>
  </si>
  <si>
    <t>"DB.A Architects" sh.p.k</t>
  </si>
  <si>
    <t>Lakrishtë</t>
  </si>
  <si>
    <t>P+5</t>
  </si>
  <si>
    <t>16.10.2017</t>
  </si>
  <si>
    <t>Ali Sefa, fadil Kurteshi &amp; Art Construction L.L.C</t>
  </si>
  <si>
    <t>"Art Construction" L.L.C</t>
  </si>
  <si>
    <t>Haki Cenaj</t>
  </si>
  <si>
    <t>SH.P.K "Archipoints Group"</t>
  </si>
  <si>
    <t>B+P+2, B+P+2</t>
  </si>
  <si>
    <t>14.09.2017</t>
  </si>
  <si>
    <t>Shkëlqim Deqani</t>
  </si>
  <si>
    <t>"BABARCH" sh.p.k</t>
  </si>
  <si>
    <t>Çagllavicë</t>
  </si>
  <si>
    <t>S+P+1</t>
  </si>
  <si>
    <t>Objekt Afarist - Depo</t>
  </si>
  <si>
    <t>28.09.2017</t>
  </si>
  <si>
    <t>09.01.2018</t>
  </si>
  <si>
    <t>Nexhat Krasniqi, Sefedin &amp; Nexhmedin Statovci, Basri Pllana dhe Petrit Deshishku</t>
  </si>
  <si>
    <t>"TEM" sh.p.k</t>
  </si>
  <si>
    <t>-2B+4S+P+7, -5+2S+P+7, -7B, -6B+2S+P, -2B+2S+P+3</t>
  </si>
  <si>
    <t>Objekte Shumëbanesore - Afariste</t>
  </si>
  <si>
    <t>04.01.2018</t>
  </si>
  <si>
    <t>Feim Beqiri</t>
  </si>
  <si>
    <t>"Unikosproject" L.L.C</t>
  </si>
  <si>
    <t>Keqekollë</t>
  </si>
  <si>
    <t>Ramazan Bekteshi</t>
  </si>
  <si>
    <t>"Luxury Auto" sh.p.k</t>
  </si>
  <si>
    <t>"Arbër Shala Architects" sh.p.k</t>
  </si>
  <si>
    <t>10,52.70</t>
  </si>
  <si>
    <t>TOTAL :</t>
  </si>
  <si>
    <t>Etem Gashi, Rexhep Maliqi, Arben Ismajli, Nazmi Thaqi, Hysen Kuleta, Qamil Haxhiu, Bedrije Maliqi, Sheqir Jupolli, Hajriz Gashi &amp; Izjadin Tahiri</t>
  </si>
  <si>
    <t>"Nura Group" sh.p.k</t>
  </si>
  <si>
    <t>Lagja e Muhaxherëve</t>
  </si>
  <si>
    <t>2B+P+11 &amp; B+S+P+11</t>
  </si>
  <si>
    <t>Agim dhe Ahmet Hyseni, Shaban Musliu, Bujar Haziri, Bajram Kabashi, Ruzhdi Hasani, Fatmir Binaku &amp; Hazir Matarova</t>
  </si>
  <si>
    <t>"Roof Group" sh.p.k</t>
  </si>
  <si>
    <t>"Maden Studio Kreative" N.P</t>
  </si>
  <si>
    <t>2S+P+6</t>
  </si>
  <si>
    <t>Faton Budeci</t>
  </si>
  <si>
    <t>"Tekno-Ing Consulting" sh.p.k</t>
  </si>
  <si>
    <t>Objekt Indivudal</t>
  </si>
  <si>
    <t>Hazbije Kelmendi, Gjeraldina Shehu, Nuhi Bajrami, Xhemil Shehu, Hazbi Bajrami, Masar Dushi, Afrim Dushi, Ruzhdi Bajrami, Rifat Krasniqi, Gazmend Zymeri, Gezim Dushi, Visar Binishi, Selatin Bajrami, Baton Dushi, Mejreme Mehmeti, Xhemajl Bajrami &amp; "Kosova Israel Properties" sh.p.k</t>
  </si>
  <si>
    <t>"Zero Group" sh.p.k</t>
  </si>
  <si>
    <t>"Engineering" sh.p.k</t>
  </si>
  <si>
    <t>3B+S+P+6+Nk</t>
  </si>
  <si>
    <t>Vehbi Rexhaj</t>
  </si>
  <si>
    <t>"Via Project" N.N.SH</t>
  </si>
  <si>
    <t>Xhevdet dhe Elfete Mavraj</t>
  </si>
  <si>
    <t>"Arch-Lab" sh.p.k</t>
  </si>
  <si>
    <t>Halit Halimi</t>
  </si>
  <si>
    <t>"Ade" N.SH.N</t>
  </si>
  <si>
    <t>Isa Zeneli</t>
  </si>
  <si>
    <t>"Monark" sh.p.k</t>
  </si>
  <si>
    <t>Llukarë</t>
  </si>
  <si>
    <t>Afrim Aliu</t>
  </si>
  <si>
    <t>"IB-Plus" sh.p.k</t>
  </si>
  <si>
    <t>B+P</t>
  </si>
  <si>
    <t>Ismet Berisha</t>
  </si>
  <si>
    <t>N.SH. "Infected Architecture"</t>
  </si>
  <si>
    <t>Dardania</t>
  </si>
  <si>
    <t>"Burimi Comerc" sh.p.k</t>
  </si>
  <si>
    <t>N.N.SH. "Vizion Project"</t>
  </si>
  <si>
    <t>Imer, Naser, Bekim, Skender, Lut Beka, Nuhi, Faton, Vehbi Aliu, Dinore Fazliu, Agim Ibrahimi, Xhavit Bajrami dhe Zuka Beka</t>
  </si>
  <si>
    <t>N.P.N "Mark-Ing"</t>
  </si>
  <si>
    <t>B+S+P+9</t>
  </si>
  <si>
    <t>Qendra Klinike Spitalore</t>
  </si>
  <si>
    <t>Qendra Kombëtare e Mjekësisë së Sportit &amp; Klinika e Mjekësisë Fizikale dhe Rehabilitim</t>
  </si>
  <si>
    <t>N.N.SH. "Geokos"</t>
  </si>
  <si>
    <t>B+P+1 &amp; B+P+2</t>
  </si>
  <si>
    <t>Objekt Spitalor</t>
  </si>
  <si>
    <t>Fadil Xhemajli</t>
  </si>
  <si>
    <t>"ZH - Studio" sh.p.k</t>
  </si>
  <si>
    <t>Kodra e Trimave</t>
  </si>
  <si>
    <t>Nazmi Selmani, Rrustem Hilmi, Bajram Rushiti, Luljeta Rushiti, Sali Ibrahimi dhe Adlije Jahaj</t>
  </si>
  <si>
    <t>N.N.T "Ndërtimi A"</t>
  </si>
  <si>
    <t>"Infra-Ing" sh.p.k</t>
  </si>
  <si>
    <t>2B+P+7 &amp; 2B+P+7</t>
  </si>
  <si>
    <t>Fadil Arifi</t>
  </si>
  <si>
    <t>Gjinaj</t>
  </si>
  <si>
    <t>Gani Bulliqi</t>
  </si>
  <si>
    <t>S+P+2</t>
  </si>
  <si>
    <t>N.N.SH. "Shala"</t>
  </si>
  <si>
    <t>"Building" sh.p.k</t>
  </si>
  <si>
    <t>Sherif Makolli</t>
  </si>
  <si>
    <t>N.T.SH. "Inter Projekt"</t>
  </si>
  <si>
    <t>Orlloviq</t>
  </si>
  <si>
    <t>Xhevat Demiri</t>
  </si>
  <si>
    <t>"BB Studio" sh.p.k</t>
  </si>
  <si>
    <t>19.10.2017</t>
  </si>
  <si>
    <t>31.05.2018</t>
  </si>
  <si>
    <t>03.08.2017</t>
  </si>
  <si>
    <t>28.05.2018</t>
  </si>
  <si>
    <t>06.04.2018</t>
  </si>
  <si>
    <t>18.11.2013</t>
  </si>
  <si>
    <t>24.05.2018</t>
  </si>
  <si>
    <t>31.01.2018</t>
  </si>
  <si>
    <t>16.05.2018</t>
  </si>
  <si>
    <t>29.01.2018</t>
  </si>
  <si>
    <t>15.05.2018</t>
  </si>
  <si>
    <t>03.03.2017</t>
  </si>
  <si>
    <t>07.05.2018</t>
  </si>
  <si>
    <t>02.05.2018</t>
  </si>
  <si>
    <t>23.04.2018</t>
  </si>
  <si>
    <t>01.02.2018</t>
  </si>
  <si>
    <t>09.11.2017</t>
  </si>
  <si>
    <t>19.04.2018</t>
  </si>
  <si>
    <t>27.10.2017</t>
  </si>
  <si>
    <t>18.04.2018</t>
  </si>
  <si>
    <t>27.12.2017</t>
  </si>
  <si>
    <t>14.11.2017</t>
  </si>
  <si>
    <t>16.04.2018</t>
  </si>
  <si>
    <t>12.04.2018</t>
  </si>
  <si>
    <t>11.04.2018</t>
  </si>
  <si>
    <t>16.01.2018</t>
  </si>
  <si>
    <t>10.04.2018</t>
  </si>
  <si>
    <t>Xhevat Vokshi</t>
  </si>
  <si>
    <t>"Archides" a.i.d</t>
  </si>
  <si>
    <t>08.04.2018</t>
  </si>
  <si>
    <t>28.06.2018</t>
  </si>
  <si>
    <t>Besnik Haziri</t>
  </si>
  <si>
    <t>"Porta 0" sh.p.k</t>
  </si>
  <si>
    <t>Milaim Ismajlit</t>
  </si>
  <si>
    <t>SH.P.K "IN TIME"</t>
  </si>
  <si>
    <t>I Perkohshem</t>
  </si>
  <si>
    <t>29.03.2018</t>
  </si>
  <si>
    <t>27.06.2018</t>
  </si>
  <si>
    <t>Selim Rexhepi ,Agnesa Geca</t>
  </si>
  <si>
    <t>N.T.SH."Studio Zero"</t>
  </si>
  <si>
    <t>01.03.2018</t>
  </si>
  <si>
    <t>26.06.2018</t>
  </si>
  <si>
    <t>Shkelzen Sylaj,Rrustem Dermaku,Fadil Latifaj,Hazir Zhitija,Avdyl Zhitija,Selvete Shahini,Gazmend llylaj, Enver Azemi,Nazif Zylfiu,Begush Sadiku</t>
  </si>
  <si>
    <t>" Uni Project " sh.p.k</t>
  </si>
  <si>
    <t>N.SH."VEDESK PROJECT"</t>
  </si>
  <si>
    <t>B+P+8</t>
  </si>
  <si>
    <t>29.12.2017</t>
  </si>
  <si>
    <t>Bardh Ibrahimi, Isuf Dubova,Sabri Zeqiri, Lutfi Gashi,Isa Dukaj, Bedri Mustafa,Naim Sadiku, Agim Sadiku dhe "Alko Group" SH.A</t>
  </si>
  <si>
    <t>"Alko
 Group" &amp; N.P.N "Hoxha"</t>
  </si>
  <si>
    <t>"Alko
 Group"</t>
  </si>
  <si>
    <t>B+P+9+NK</t>
  </si>
  <si>
    <t>Objekt shumebanesor-afarist</t>
  </si>
  <si>
    <t>04.08.2016</t>
  </si>
  <si>
    <t>Agim Sefa</t>
  </si>
  <si>
    <t>N.Sh.P. "Arch. atele"</t>
  </si>
  <si>
    <t>Prishitinë</t>
  </si>
  <si>
    <t>25.06.2018</t>
  </si>
  <si>
    <t>Xhavit Haziri,Blerim Aliu dhe Gazmend Mehmeti</t>
  </si>
  <si>
    <t>"ARCHITECTING"SH.P.K</t>
  </si>
  <si>
    <t>Kolovice</t>
  </si>
  <si>
    <t>P+2</t>
  </si>
  <si>
    <t>13.04.2018</t>
  </si>
  <si>
    <t>Aferdita Murtezi dhe Ramize Murtezi,</t>
  </si>
  <si>
    <t>N.N.SH."Ndertimi"</t>
  </si>
  <si>
    <t>30.08.2017</t>
  </si>
  <si>
    <t>20.06.2018</t>
  </si>
  <si>
    <t>Gjelosh Vataj</t>
  </si>
  <si>
    <t>N.SH."J&amp;S construction"</t>
  </si>
  <si>
    <t>19.06.2018</t>
  </si>
  <si>
    <t>Blerim GASHI</t>
  </si>
  <si>
    <t>Arcadis Constructions sh.p.k</t>
  </si>
  <si>
    <t>18.06.2018</t>
  </si>
  <si>
    <t>Bujar Gashi</t>
  </si>
  <si>
    <t>"IPN"sh.p.k</t>
  </si>
  <si>
    <t>P+Nk</t>
  </si>
  <si>
    <t>05.07.2017</t>
  </si>
  <si>
    <t>Avni Sfishta</t>
  </si>
  <si>
    <t>"Decor Group"</t>
  </si>
  <si>
    <t>B+P+1+nk</t>
  </si>
  <si>
    <t>14.06.2018</t>
  </si>
  <si>
    <t>Rrahman Duli</t>
  </si>
  <si>
    <t>N.N.P. "Pro Art"</t>
  </si>
  <si>
    <t>30.03.2018</t>
  </si>
  <si>
    <t>13.06.2018</t>
  </si>
  <si>
    <t>Vaid Haliti</t>
  </si>
  <si>
    <t>"Tulla Studio" SH.P.K</t>
  </si>
  <si>
    <t>B+P+1;S+P+1;B+P+1;B+P+1;S+P+1</t>
  </si>
  <si>
    <t>16.03.2018</t>
  </si>
  <si>
    <t>Bujar,Besim Gallopeni</t>
  </si>
  <si>
    <t>09.03.2018</t>
  </si>
  <si>
    <t>11.06.2018</t>
  </si>
  <si>
    <t>Bukurije Reçica</t>
  </si>
  <si>
    <t>" Pro Joni " sh.p.k</t>
  </si>
  <si>
    <t>03.04.2018</t>
  </si>
  <si>
    <t>Gani Bajraktari, Ramadan Bublica, Adnan Murtezi, Sejdullah Morina, Mehdi
 Thaqi, Selim Bajra, Sokol Hoda, Besim Krasniqi, Bekim Krasniqi, Asip Beqiri, Feti Delija, Adem Vrajolli,
 Shaip Ajeti, Salih Pajaziti dhe Arsim Krasniqi</t>
  </si>
  <si>
    <t>"Lirimi &amp; ACL" sh.p.k</t>
  </si>
  <si>
    <t>"\/IPRODUCT-GROUP" shpk</t>
  </si>
  <si>
    <t>2B+P+7</t>
  </si>
  <si>
    <t>07.03.2018</t>
  </si>
  <si>
    <t>07.06.2018</t>
  </si>
  <si>
    <t>Sali Rashiti, Hajredin Shabani, Rukmedin Limani dhe Hevzi Berisha</t>
  </si>
  <si>
    <t>"CIMA" sh.p.k,</t>
  </si>
  <si>
    <t>"Euro Projekt" N.P.N</t>
  </si>
  <si>
    <t>-2B+P+9</t>
  </si>
  <si>
    <t>25.04.2018</t>
  </si>
  <si>
    <t>05.06.2018</t>
  </si>
  <si>
    <t>"Petroll Company"sh.p.k.</t>
  </si>
  <si>
    <t>Petroll Company sh.p.k.</t>
  </si>
  <si>
    <t>"Fitorja"sh.p.k., "lliria Building" sh.p'k', Asllan Ahmeli, Ejyp
 Kolica dhe Besim Ajeti</t>
  </si>
  <si>
    <t>"lliria Building
 &amp; Fitorja,'sh.p.k.</t>
  </si>
  <si>
    <t>"Toning-A" sh'p'k'</t>
  </si>
  <si>
    <t>Muhaxherëve</t>
  </si>
  <si>
    <t>,-B+ S + P + 12 , -3B+ P+ 12</t>
  </si>
  <si>
    <t>04.06.2018</t>
  </si>
  <si>
    <t>Sejdi dhe Abdylhamit Mustafa</t>
  </si>
  <si>
    <t>" Kosova Projekt Construction "</t>
  </si>
  <si>
    <t>Rimanishte</t>
  </si>
  <si>
    <t>20.04.2018</t>
  </si>
  <si>
    <t>Lum Gashi,Artan Sejdiu,Mihride Hyseni dhe Lumnije Gashi</t>
  </si>
  <si>
    <t>Leje Rrenimi</t>
  </si>
  <si>
    <t>77 .42</t>
  </si>
  <si>
    <t>Mustafe Havolli</t>
  </si>
  <si>
    <t>"Mabb Group" sh.p.k.</t>
  </si>
  <si>
    <t>Bernicë e Epërme</t>
  </si>
  <si>
    <t>Leja dokumenti 05-351/02-0162700/18</t>
  </si>
  <si>
    <t>ENK lnvest Group"sh.a.</t>
  </si>
  <si>
    <t>"DB.A architects"</t>
  </si>
  <si>
    <t>7B+P+31 ; 7B+P+28</t>
  </si>
  <si>
    <t>Leja dokumenti 05-351/02-0121660/18</t>
  </si>
  <si>
    <t>Hakif Thaqi, Nezir Mehmetaj</t>
  </si>
  <si>
    <t>" BB Home New"</t>
  </si>
  <si>
    <t>"ARBER SADIKI "B.I</t>
  </si>
  <si>
    <t>B+S+P+5</t>
  </si>
  <si>
    <t>Leja dokumenti 05-351/02-0313678/17</t>
  </si>
  <si>
    <t>Minire, Nexhip, Ferzije dhe Ylvije Xhambazi dhe Kimete Simnica</t>
  </si>
  <si>
    <t>"Dardania SH Company" SH.P.K dhe "Ada Consulting Group"SH.P.K</t>
  </si>
  <si>
    <t>"Sendertimi "SH.P.K</t>
  </si>
  <si>
    <t>Leja dokumenti 05-351/02-0103167/18</t>
  </si>
  <si>
    <t>Nexhip Kastrati, Lutfi Beselica, Nexhip
 Sheholli, Dhjetor Osmani, Rasim Gashi, Bashkim Osmani dhe John Xhan Taip</t>
  </si>
  <si>
    <t>"KW IMMO CONCEPT"LL.C</t>
  </si>
  <si>
    <t>"CMA Desingn,, Sh.p.k.</t>
  </si>
  <si>
    <t>4B+P+3</t>
  </si>
  <si>
    <t>Shukrane Brvenik, Berra Brvenik, Bejtullah Brvenik dhe Abdullah
 Brvenik</t>
  </si>
  <si>
    <t>NP "Euro Engineering"</t>
  </si>
  <si>
    <t>Erduan  dhe Muhamer Ismaili</t>
  </si>
  <si>
    <t>Erduan dhe Muhamer Ismaili</t>
  </si>
  <si>
    <t>"Arber Sadiki" B.I</t>
  </si>
  <si>
    <t>Leja dokumenti 05-351/02-0089231/18</t>
  </si>
  <si>
    <t>Fitim Bitiq</t>
  </si>
  <si>
    <t>"HB&amp;Kuçi"</t>
  </si>
  <si>
    <t>Leja dokumenti 05-351/02-0106910/18</t>
  </si>
  <si>
    <t>"Ndermarrja e re, Mekanizmi Zona Industriale II" Sh.P.K,</t>
  </si>
  <si>
    <t>N.T.P.Auro Trade Sh.P.K.</t>
  </si>
  <si>
    <t>"N.P.N."NC-ENGINEERING"</t>
  </si>
  <si>
    <t>Leja dokumenti 05-351/02-0110144/18</t>
  </si>
  <si>
    <t>Ramadan Bllata dhe Faton Abdullahu</t>
  </si>
  <si>
    <t>"Le arch 3D"N.SH</t>
  </si>
  <si>
    <t>Leja dokumenti 05-351/02-0242573/17</t>
  </si>
  <si>
    <t>Fatmire Abdullahu</t>
  </si>
  <si>
    <t>N.SH.P.I'.AS-PROJECT"</t>
  </si>
  <si>
    <t>Leja dokumenti 05-351/02-0131280/18</t>
  </si>
  <si>
    <t>Nazmi (Shaban) Krasniqi</t>
  </si>
  <si>
    <t>Sh.p.k. "Arkis"</t>
  </si>
  <si>
    <t>Bernicë e Poshtme</t>
  </si>
  <si>
    <t>Leja dokumenti 05-351/02-0289680/17</t>
  </si>
  <si>
    <t>Petrit Sopjani</t>
  </si>
  <si>
    <t>"Ndermarrja për Projektim Inxhinjering Konsaiting Max-Arch"</t>
  </si>
  <si>
    <t>Leja dokumenti 05-351/02-0060318/18</t>
  </si>
  <si>
    <t>"Chelsea Point" Ll.C.</t>
  </si>
  <si>
    <t>Chelsea Point Ll.C.</t>
  </si>
  <si>
    <t>"RD GROUP"SH.P.K</t>
  </si>
  <si>
    <t>Leja dokumenti 05-351/02-0098771/18</t>
  </si>
  <si>
    <t>Lazer Nrecaj</t>
  </si>
  <si>
    <t>"Donna's Office" SH.P.K</t>
  </si>
  <si>
    <t>Arbëria</t>
  </si>
  <si>
    <t>B+P+I</t>
  </si>
  <si>
    <t>Leja dokumenti 05-351/02-01095570/18</t>
  </si>
  <si>
    <t>Januz Berisha</t>
  </si>
  <si>
    <t>"3D -Architecture"</t>
  </si>
  <si>
    <t>Leja dokumenti 05-351/02-0032537/18</t>
  </si>
  <si>
    <t>Natyra Kajtazi</t>
  </si>
  <si>
    <t>"H B line"Sh.P.K.</t>
  </si>
  <si>
    <t>Leja dokumenti 05-351/02-0062241/18</t>
  </si>
  <si>
    <t>N.N.Sh."Shala-Xh"</t>
  </si>
  <si>
    <t>"Building"Sh.P.K.</t>
  </si>
  <si>
    <t>Leja dokumenti 05-351/02-0106687/18</t>
  </si>
  <si>
    <t>Isuf Brajshorit</t>
  </si>
  <si>
    <t>"arc&amp;art"SH.P.K.</t>
  </si>
  <si>
    <t>Sharban</t>
  </si>
  <si>
    <t>Leja dokumenti 05-351/02-0109807/18</t>
  </si>
  <si>
    <t>Qazim Bajgora</t>
  </si>
  <si>
    <t>N.P.N "Kulina Inginiering"</t>
  </si>
  <si>
    <t>Leja dokumenti 05-351/02-0089766/18</t>
  </si>
  <si>
    <t>Leja dokumenti 05-351/02-0089751/18</t>
  </si>
  <si>
    <t>Skender Bajrami</t>
  </si>
  <si>
    <t>A&amp;F GROUP.SH.P.K</t>
  </si>
  <si>
    <t>N.P.N "Archipoints"</t>
  </si>
  <si>
    <t>Leja dokumenti 05-351/02-0029405/18</t>
  </si>
  <si>
    <t>Beqir, Sejdi, Lulzim, Hamdi, Avdi dhe Halim Mehmeti</t>
  </si>
  <si>
    <t>"Mega Building " sh.p.k</t>
  </si>
  <si>
    <t>N.P T "Arhing"</t>
  </si>
  <si>
    <t>B-+S+P+6</t>
  </si>
  <si>
    <t>Remzi Ismaili</t>
  </si>
  <si>
    <t>"Artings Project" sh.p.k</t>
  </si>
  <si>
    <t>B+S+1</t>
  </si>
  <si>
    <t>Leja dokumenti 05-351/02-0108506/18</t>
  </si>
  <si>
    <t>06.07.2018</t>
  </si>
  <si>
    <t>30.07.2018</t>
  </si>
  <si>
    <t>23.05.2018</t>
  </si>
  <si>
    <t>27.07.2018</t>
  </si>
  <si>
    <t>26.12.2017</t>
  </si>
  <si>
    <t>26.07.2018</t>
  </si>
  <si>
    <t>25.07.2018</t>
  </si>
  <si>
    <t>06.12.2017</t>
  </si>
  <si>
    <t>23.07.2018</t>
  </si>
  <si>
    <t>26.09.2016</t>
  </si>
  <si>
    <t>20.07.2018</t>
  </si>
  <si>
    <t>19.07.2018</t>
  </si>
  <si>
    <t>10.05.2018</t>
  </si>
  <si>
    <t>27.09.2017</t>
  </si>
  <si>
    <t>01.06.2018</t>
  </si>
  <si>
    <t>18.07.2018</t>
  </si>
  <si>
    <t>13.03.2018</t>
  </si>
  <si>
    <t>17.07.2018</t>
  </si>
  <si>
    <t>16.07.2018</t>
  </si>
  <si>
    <t>08.02.2018</t>
  </si>
  <si>
    <t>11.07.2018</t>
  </si>
  <si>
    <t>09.07.2018</t>
  </si>
  <si>
    <t>04.07.2018</t>
  </si>
  <si>
    <t>05.02.2018</t>
  </si>
  <si>
    <t>02.07.2018</t>
  </si>
  <si>
    <t>22.12.2017</t>
  </si>
  <si>
    <t>08.05.2018</t>
  </si>
  <si>
    <t>B+P+7</t>
  </si>
  <si>
    <r>
      <t xml:space="preserve">Pagesa e takses administrative </t>
    </r>
    <r>
      <rPr>
        <b/>
        <sz val="12"/>
        <color rgb="FFFF0000"/>
        <rFont val="Arial"/>
        <family val="2"/>
      </rPr>
      <t>6.50€</t>
    </r>
    <r>
      <rPr>
        <b/>
        <sz val="12"/>
        <rFont val="Arial"/>
        <family val="2"/>
      </rPr>
      <t xml:space="preserve"> për </t>
    </r>
  </si>
  <si>
    <t>Hakif (Shaban) Gashi</t>
  </si>
  <si>
    <t>Arbëria 2</t>
  </si>
  <si>
    <t>P+2+Nk</t>
  </si>
  <si>
    <t>Leja dokumenti 05-354/03-0107832/18</t>
  </si>
  <si>
    <t>31.08.2018</t>
  </si>
  <si>
    <t>Rexhep Latifi</t>
  </si>
  <si>
    <t>"Loni" sh.p.k,.</t>
  </si>
  <si>
    <t>31.07.2018</t>
  </si>
  <si>
    <t>Sylë Syla</t>
  </si>
  <si>
    <t>"Arhing"</t>
  </si>
  <si>
    <t>Isak Shala</t>
  </si>
  <si>
    <t>N.P.N."Green Door"</t>
  </si>
  <si>
    <t>30.08.2018</t>
  </si>
  <si>
    <t>Fehmi Jupolli</t>
  </si>
  <si>
    <t>n.sh. "Arkaik"</t>
  </si>
  <si>
    <t>29.08.2018</t>
  </si>
  <si>
    <t>Labinot Hamiti</t>
  </si>
  <si>
    <t>"Infra Ing" SH.P.K.</t>
  </si>
  <si>
    <t>28.08.2018</t>
  </si>
  <si>
    <t>Ramize Beqiri dhe Ekrem Janjeva</t>
  </si>
  <si>
    <t>"MAB"Projekt sh.p.k.</t>
  </si>
  <si>
    <t>"LSN Arkitekt"</t>
  </si>
  <si>
    <t>B +P+4+Nk</t>
  </si>
  <si>
    <t>09.02.2018</t>
  </si>
  <si>
    <t>27.08.2018</t>
  </si>
  <si>
    <t>Isuf Brajshori</t>
  </si>
  <si>
    <t>" P-Delta "Sh.P.K.</t>
  </si>
  <si>
    <t>Fshati Sharban</t>
  </si>
  <si>
    <t>11.04.2017</t>
  </si>
  <si>
    <t>Daut Krasniqi dhe Beqir Krasniqi</t>
  </si>
  <si>
    <t>"Alba Construction"</t>
  </si>
  <si>
    <t>N.N.P"Pro
 Joni"</t>
  </si>
  <si>
    <t>30.06.2018</t>
  </si>
  <si>
    <t>Bastri Sinani</t>
  </si>
  <si>
    <t>N.N.P. "Studio Links 4"</t>
  </si>
  <si>
    <t>21.06.2018</t>
  </si>
  <si>
    <t>Leutrim, Bunjamin dhe Skender Rama</t>
  </si>
  <si>
    <t>"Archipoints Group"</t>
  </si>
  <si>
    <t>13.07.2018</t>
  </si>
  <si>
    <t>Fatmire Zhubi</t>
  </si>
  <si>
    <t>"L-Home" N.N.Sh.</t>
  </si>
  <si>
    <t>03.05.2018</t>
  </si>
  <si>
    <t>Dukagiini lnvest sh.p.k.</t>
  </si>
  <si>
    <t>N.P.N."Puka Desing"</t>
  </si>
  <si>
    <t>3k</t>
  </si>
  <si>
    <t>22.08.2018</t>
  </si>
  <si>
    <t>Osman, Faik, Rexhep, Shefqet, Xhelal, Xhavit, Hysen, Arsim, Ron, Rita, Vesa
 Breznica dhe Mervete Gubetini</t>
  </si>
  <si>
    <t>"Trio Construction"</t>
  </si>
  <si>
    <t>"Bashkimi Projekt" sh.p.k.;"Artings Project" sh.p.k.</t>
  </si>
  <si>
    <t>2B+S+P+10</t>
  </si>
  <si>
    <t>03.07.2018</t>
  </si>
  <si>
    <t>Sabri Gashi</t>
  </si>
  <si>
    <t>"Pro Joni"</t>
  </si>
  <si>
    <t>14.05.2018</t>
  </si>
  <si>
    <t>17.08.2018</t>
  </si>
  <si>
    <t>N.N.Sh. "Shala-Xh"</t>
  </si>
  <si>
    <t>"Building"
 sh.p.k.</t>
  </si>
  <si>
    <t>Sokol Aliu</t>
  </si>
  <si>
    <t>"Arc&amp;art"sh.p.k,</t>
  </si>
  <si>
    <t>16.08.2018</t>
  </si>
  <si>
    <t>Sadri Lipaj, Bahri Shala, Bafti Murati, Xhafer Abazi, Bedri Abdullahu,
 Shaban Muharremi dhe Shpresa Etemi</t>
  </si>
  <si>
    <t>B&amp;S Group sh.p.k.</t>
  </si>
  <si>
    <t>"ADK"</t>
  </si>
  <si>
    <t>B+S+P+7,                           2B+P+9</t>
  </si>
  <si>
    <t>Ramadan Fetahu</t>
  </si>
  <si>
    <t>"Living"L.L.C.</t>
  </si>
  <si>
    <t>15.08.2018</t>
  </si>
  <si>
    <t>Fatmir Azemi</t>
  </si>
  <si>
    <t>14.08.2018</t>
  </si>
  <si>
    <t>Amir Mexhuani</t>
  </si>
  <si>
    <t>"B17 Architects"sh.p.k</t>
  </si>
  <si>
    <t>13.08.2018</t>
  </si>
  <si>
    <t>Veton Berisha</t>
  </si>
  <si>
    <t>L &amp; A Architects"sh.p.k</t>
  </si>
  <si>
    <t>09.08.2018</t>
  </si>
  <si>
    <t>Gazmend, Arben, Bujar dhe Leonard Qerkezi, Mustafd Halili, Gani
 Ademi, Ruzhdi dhe Agron Mejzinolli, Almin Uka, Beqir Kagandolli, Eset, Ali dhe Ramadan Murati,
 ldriz dhe FerizZeka, Sylejman Zabeli</t>
  </si>
  <si>
    <t>"Model Slovenia lnvest" sh.p.k</t>
  </si>
  <si>
    <t>"Model Slovenia lnvest" sh.p.k.</t>
  </si>
  <si>
    <t>B+2S+P+6+Nk                      -2B+S+P+6+Nk</t>
  </si>
  <si>
    <t>03.08.2018</t>
  </si>
  <si>
    <t>Bejtush Gashi</t>
  </si>
  <si>
    <t>"2AE"Sh.P.K.</t>
  </si>
  <si>
    <t>Burhan Rashlanin</t>
  </si>
  <si>
    <t>N.P.SH "Consult-Eng"</t>
  </si>
  <si>
    <t>04.04.2018</t>
  </si>
  <si>
    <t>02.08.2018</t>
  </si>
  <si>
    <t>Bujar Latifi dhe Hisen Hoti</t>
  </si>
  <si>
    <t>"Malësia Invest"sh.p.k</t>
  </si>
  <si>
    <t>N.N.P"Pro Art"</t>
  </si>
  <si>
    <t>2B+P+10</t>
  </si>
  <si>
    <t>01.08.2018</t>
  </si>
  <si>
    <t>Arben Brovina &amp; Merita Shkodra- Brovina</t>
  </si>
  <si>
    <t>"Building" sh.p.k.</t>
  </si>
  <si>
    <t>427 .06</t>
  </si>
  <si>
    <t>"Al-Trade Center"</t>
  </si>
  <si>
    <t>"Arber
Shala Architects" sh.p.k</t>
  </si>
  <si>
    <t>3B+S+P+7</t>
  </si>
  <si>
    <t>Leja dokumenti 05-351/02-0058317/18</t>
  </si>
  <si>
    <t>Lulzim Sahiti</t>
  </si>
  <si>
    <t>"Arditi Group" sh.p.k</t>
  </si>
  <si>
    <t>LSN ARKITEKT SH.P.K</t>
  </si>
  <si>
    <t>B+P+6</t>
  </si>
  <si>
    <t>Leja dokumenti 05-351/02-0062518/18</t>
  </si>
  <si>
    <t>Mentor Krasniqi</t>
  </si>
  <si>
    <t>"Artings
Project", sh.p.k</t>
  </si>
  <si>
    <t>Objekt afarist</t>
  </si>
  <si>
    <t>Leja dokumenti 05-351/02-0203126/18</t>
  </si>
  <si>
    <t>Arban Mehmetit</t>
  </si>
  <si>
    <t>"Murseli Arkitekt+Partner"N.Sh.</t>
  </si>
  <si>
    <t>Leja dokumenti 05-351/02-0201989/18</t>
  </si>
  <si>
    <t>Xhavit Zhitinja</t>
  </si>
  <si>
    <t>"SIKA "sh.p.k</t>
  </si>
  <si>
    <t>Leja dokumenti 05-351/02-0082800/18</t>
  </si>
  <si>
    <t>Riza dhe Violeta Vokrri</t>
  </si>
  <si>
    <t>"Future Architecture &amp; Design" SH.P.</t>
  </si>
  <si>
    <t>leja dokumenti 05-351/02-0193042/18</t>
  </si>
  <si>
    <t>Naser Zuka</t>
  </si>
  <si>
    <t>N.N.SH "VIA Project"sh.p.k</t>
  </si>
  <si>
    <t>Leja dokumenti 05-351/02-0143883/18</t>
  </si>
  <si>
    <t>Vlora Arifi</t>
  </si>
  <si>
    <t>"Arcadis
Construction"</t>
  </si>
  <si>
    <t>Leja dokumenti 05-351/02-0109678/18</t>
  </si>
  <si>
    <t>Armend Skeja, Prime Group Construction sh.p.k, Argona Kaltazi, Blerim
Potera, Valon Budima, Besnik Limaj, Arbnor Polloshka, Arben Polloshka, Bekim Berisha, Feride
Lushtaku, Agim Aliqkaj, Kimet Zeqa, Arben Salihu, Vahdet Pruthi, Visar Gacaferri, Lulzim Zeka,llir
Bajri dhe Gazmend Bajri</t>
  </si>
  <si>
    <t>Armend Skeja, Prirne Group Construction sh.p.k, Argona Kaltazi, Blerim
Potera, Valon Budima, Besnik Limaj, Arbnor Polloshka, Arben Polloshka, Bekim Berisha, Feride
Lushtaku, Agim Aliqkaj, Kimet Zeqa, Arben Salihu, Vahdet Pruthi, Visar Gacaferri, Lulzim Zeka,llir
Bajri dhe Gazmend Bajri</t>
  </si>
  <si>
    <t>"Prime Group Construction" sh.p.k.</t>
  </si>
  <si>
    <t>B+S+P+6: 2B+P+6; B+P+7;</t>
  </si>
  <si>
    <t>Leja dokumenti 05-351/02-0148984/18</t>
  </si>
  <si>
    <t>"Europian Union Office in Kosovo"</t>
  </si>
  <si>
    <t>Objekt Arsimor-Çerdhe</t>
  </si>
  <si>
    <t>Leja dokumenti 05-351/02-0140696/18</t>
  </si>
  <si>
    <t>Ibrahim Gegollaj</t>
  </si>
  <si>
    <t>Leja dokumenti 05-351/02-0102734/18</t>
  </si>
  <si>
    <t>Emine Sheqiri</t>
  </si>
  <si>
    <t>Leja dokumenti 05-351/02-0108382/18</t>
  </si>
  <si>
    <t>Raiz Makolli</t>
  </si>
  <si>
    <t>"Geo-Group"Sh.P.K.</t>
  </si>
  <si>
    <t>Leja dokumenti 05-351/02-0179075/18</t>
  </si>
  <si>
    <r>
      <t xml:space="preserve">Pagesa e tarifes per rritjen e densitetit </t>
    </r>
    <r>
      <rPr>
        <b/>
        <sz val="12"/>
        <color rgb="FFFF0000"/>
        <rFont val="Arial"/>
        <family val="2"/>
      </rPr>
      <t>4.30€</t>
    </r>
    <r>
      <rPr>
        <b/>
        <sz val="12"/>
        <color rgb="FF000000"/>
        <rFont val="Arial"/>
        <family val="2"/>
      </rPr>
      <t xml:space="preserve">(K-I), </t>
    </r>
    <r>
      <rPr>
        <b/>
        <sz val="12"/>
        <color rgb="FFFF0000"/>
        <rFont val="Arial"/>
        <family val="2"/>
      </rPr>
      <t>10.70€</t>
    </r>
    <r>
      <rPr>
        <b/>
        <sz val="12"/>
        <color rgb="FF000000"/>
        <rFont val="Arial"/>
        <family val="2"/>
      </rPr>
      <t>(K-II)</t>
    </r>
  </si>
  <si>
    <t>Leja dokumenti 05-351/02-0034103/18</t>
  </si>
  <si>
    <t>Leja dokumenti 05-351/02-0081944/17</t>
  </si>
  <si>
    <t>Leja dokumenti 05-351/02-0129456/18</t>
  </si>
  <si>
    <t>Leja dokumenti 05-351/02-0148950/18</t>
  </si>
  <si>
    <t>Leja dokumenti 05-351/02-0105108/18</t>
  </si>
  <si>
    <t>Leja dokumenti 05-351/02-0158093/18</t>
  </si>
  <si>
    <t>Leja dokumenti 05-351/02-0122790/18</t>
  </si>
  <si>
    <t>Leja dokumenti 05-351/02-0138974/18</t>
  </si>
  <si>
    <t>Leja dokumenti 05-351-02-0071803/18</t>
  </si>
  <si>
    <t>Leja dokumenti 05-351/02-0085618/18</t>
  </si>
  <si>
    <t>30.10.2018</t>
  </si>
  <si>
    <t>Ahmet Klinaku</t>
  </si>
  <si>
    <t>"GM-Kosova" sh.p.k</t>
  </si>
  <si>
    <t>N.SH.P "AS Project"</t>
  </si>
  <si>
    <t>B+S+P+1</t>
  </si>
  <si>
    <t>Leja dokumenti 05-351/02-0096157/18</t>
  </si>
  <si>
    <t>20.08.2018</t>
  </si>
  <si>
    <t>Kumrije dhe Zenel Barani</t>
  </si>
  <si>
    <t>"Kosova Project Construction"</t>
  </si>
  <si>
    <t>Objekt afarist i përkoshëm</t>
  </si>
  <si>
    <t>Leja dokumenti 05-351/02-0203345/18</t>
  </si>
  <si>
    <t>06.06.2018</t>
  </si>
  <si>
    <t>23.10.2018</t>
  </si>
  <si>
    <t>Ramiz Hyseni</t>
  </si>
  <si>
    <t>"Condor" sh.p.k</t>
  </si>
  <si>
    <t>N.T.P"Co-Ing"</t>
  </si>
  <si>
    <t>2B+P+7; 2B+S+P+7; 2B+S+P+6</t>
  </si>
  <si>
    <t>Leja dokumenti 05-351-02-0135722-18</t>
  </si>
  <si>
    <t>25.10.2018</t>
  </si>
  <si>
    <t>Tefik,Shensi,Shefki,Nebih, Qamil Humolli dhe Ahmet Klinaku</t>
  </si>
  <si>
    <t>Leja dokumenti 05-351/02-0089891/18</t>
  </si>
  <si>
    <t>Sadushe Ahmeti, Urim Ahmeti, Sali Gërguri, Shaban Mehmeti, Millennium
Business Center sh.p.k, Enver Mehmeti, Fatmir Mehmeti dhe Haki Mehmeti</t>
  </si>
  <si>
    <t>N.P.Sh,
"4A" sh.p.k</t>
  </si>
  <si>
    <t>Leja dokumenti 05-351/02-0190078/18</t>
  </si>
  <si>
    <t>29.06.2018</t>
  </si>
  <si>
    <t>Xhemajl Krasniqi,Enver Aliu</t>
  </si>
  <si>
    <t>N.T.SH "ALB-PETROL"</t>
  </si>
  <si>
    <t>B+S+P+7,</t>
  </si>
  <si>
    <t>Leja dokumenti 05-351/02-0155140/18</t>
  </si>
  <si>
    <t>22.10.2018</t>
  </si>
  <si>
    <t>Haradin Arifi</t>
  </si>
  <si>
    <t>N.SH. "Vedesk Project"</t>
  </si>
  <si>
    <t>"Kodra e Trimave"</t>
  </si>
  <si>
    <t>Leja dokumenti 05-351/02-0201101/18</t>
  </si>
  <si>
    <t>19.10.2018</t>
  </si>
  <si>
    <t>Tregtia sh.p.k</t>
  </si>
  <si>
    <t>4B+P+6 3B+P+20 2B+P+10 -2B+P+8</t>
  </si>
  <si>
    <t>Leja dokumenti 05-351/02-0155336/18</t>
  </si>
  <si>
    <t>06.08.2018</t>
  </si>
  <si>
    <t>Ruzhdi Mustafa</t>
  </si>
  <si>
    <t>"ZH Studio"</t>
  </si>
  <si>
    <t>Leja dokumenti 05-351/02-0194230/18</t>
  </si>
  <si>
    <t>18.10.2018</t>
  </si>
  <si>
    <t>Bujar Rmoku</t>
  </si>
  <si>
    <t>"Centimetri"</t>
  </si>
  <si>
    <t>Leja dokumenti 05-351/02-0183406/18</t>
  </si>
  <si>
    <t>26.04.2018</t>
  </si>
  <si>
    <t>17.10.2018</t>
  </si>
  <si>
    <t>Shukrije Berisha, Bekim Canaj, Agim Mehmeti, Hajrie Hasolli,
Halim Zeneli, Zeqirija Rrahmani</t>
  </si>
  <si>
    <t>"3B Projekt" SH.P.K</t>
  </si>
  <si>
    <t>B+S+P+8</t>
  </si>
  <si>
    <t>Leja dokumenti 05-351/02-0099183/18</t>
  </si>
  <si>
    <t>19.09.2018</t>
  </si>
  <si>
    <t>15.10.2018</t>
  </si>
  <si>
    <t>Gani Dobratiqi</t>
  </si>
  <si>
    <t>"Inter Projekt"</t>
  </si>
  <si>
    <t>Besi</t>
  </si>
  <si>
    <t>Leja dokumenti 05-351/02-0237628/18</t>
  </si>
  <si>
    <t>22.06.2018</t>
  </si>
  <si>
    <t>11.10.2018</t>
  </si>
  <si>
    <t>Nexhat, Haki, Bedri, Adem dhe Abdyl Berisha</t>
  </si>
  <si>
    <t>N.P.N "Euro Projekt "</t>
  </si>
  <si>
    <t>B+S+P+5 ; B+S+P+4</t>
  </si>
  <si>
    <t>Leja dokumenti 05-351/02-0149493/18</t>
  </si>
  <si>
    <t>03.10.2018</t>
  </si>
  <si>
    <t>Bajram Mehmeti</t>
  </si>
  <si>
    <t>"KUKA" sh.p.k</t>
  </si>
  <si>
    <t>"Tulla Studio"SH.p.k</t>
  </si>
  <si>
    <t>Leja dokumenti 05-351-02-0174607</t>
  </si>
  <si>
    <t xml:space="preserve">Situacioni </t>
  </si>
  <si>
    <t>Fisnik Bajrami</t>
  </si>
  <si>
    <t>Leja dokumenti 05-351/02-0201019/18</t>
  </si>
  <si>
    <t>6.07.2018</t>
  </si>
  <si>
    <t>02.10.2018</t>
  </si>
  <si>
    <t>Shkelzen Bytyqi</t>
  </si>
  <si>
    <t>"Krijon Studion" sh.p.k.</t>
  </si>
  <si>
    <t>Leja dokumenti 05-351/02-0161941/18</t>
  </si>
  <si>
    <t>01.10.2018</t>
  </si>
  <si>
    <t>Sahit Bibaj</t>
  </si>
  <si>
    <t>N.Sh," MIK"</t>
  </si>
  <si>
    <t>B+P+1+Nk</t>
  </si>
  <si>
    <t>Leja dokumenti 05-351/02-0191374/18</t>
  </si>
  <si>
    <t>10.07.2018</t>
  </si>
  <si>
    <t>Ejup Janjeva</t>
  </si>
  <si>
    <t>"B17 Architects " sh.p.k</t>
  </si>
  <si>
    <t>Objekt Afarist-Depo</t>
  </si>
  <si>
    <t>Leja dokumenti 05-351/02-0164923/18</t>
  </si>
  <si>
    <t>28.02.2018</t>
  </si>
  <si>
    <t>04.09.2018</t>
  </si>
  <si>
    <t>05.09.2018</t>
  </si>
  <si>
    <t>06.09.2018</t>
  </si>
  <si>
    <t>11.09.2018</t>
  </si>
  <si>
    <t>14.09.2018</t>
  </si>
  <si>
    <t>10.01.2018</t>
  </si>
  <si>
    <t>17.09.2018</t>
  </si>
  <si>
    <t>18.09.2018</t>
  </si>
  <si>
    <t>07.08.2018</t>
  </si>
  <si>
    <t>20.09.2018</t>
  </si>
  <si>
    <t>24.09.2018</t>
  </si>
  <si>
    <t>25.09.2018</t>
  </si>
  <si>
    <t>26.09.2018</t>
  </si>
  <si>
    <t>Leja dokumenti 05-351/02-43363</t>
  </si>
  <si>
    <t>Leja dokumenti 05-351/02-0297223-17</t>
  </si>
  <si>
    <t>Leja dokumenti 05-351/02-241907/18</t>
  </si>
  <si>
    <t>Naser, Demir, Isak, Hazbi dhe Ismet Krasniqi, Ramadan Makolli, Bekim
Nika, Burim(Hasan)Potera, Sajmir Konushevci dhe Bekim Cremajli</t>
  </si>
  <si>
    <t>22.11.2018</t>
  </si>
  <si>
    <t>Saud dhe Miradije Imeri</t>
  </si>
  <si>
    <t>N.SH.P "Arch.atele"</t>
  </si>
  <si>
    <t>B+P+2K</t>
  </si>
  <si>
    <t>Leja dokumenti 05-351/02-0189151/18</t>
  </si>
  <si>
    <t>20.11.2018</t>
  </si>
  <si>
    <t>Feim Reka</t>
  </si>
  <si>
    <t>"Vllezrit Berisha"</t>
  </si>
  <si>
    <t>"Baron-Studio"</t>
  </si>
  <si>
    <t>B+P+4</t>
  </si>
  <si>
    <t>Leja dokumenti 05-351/02-0216377/18</t>
  </si>
  <si>
    <t>16.11.2018</t>
  </si>
  <si>
    <r>
      <t>Arianit Gashi,Kushtrim Gashi,Shpend Gashi,Blerim Ademi,Nexhmije Deliu, Muhamet Hasimi,Agim Krasniqi,Behxhet Qunaku,Fatos Zhabari,Ilmi Beqiri ,Rexhat Berisha,Shehide Kova</t>
    </r>
    <r>
      <rPr>
        <sz val="8"/>
        <color rgb="FF000000"/>
        <rFont val="Arial"/>
        <family val="2"/>
      </rPr>
      <t>Ç</t>
    </r>
    <r>
      <rPr>
        <sz val="10"/>
        <color rgb="FF000000"/>
        <rFont val="Arial"/>
        <family val="2"/>
      </rPr>
      <t>i,Kamer Murseli</t>
    </r>
  </si>
  <si>
    <t>"Petrol Kabashi"sh.p.k</t>
  </si>
  <si>
    <t>2B+P+4; B+P+5</t>
  </si>
  <si>
    <t>Leja dokumenti 05-351/05-0147196/18</t>
  </si>
  <si>
    <t>"Melodia-Ing" sh.p.k</t>
  </si>
  <si>
    <t>2B+P+4; 2B+P+5; 2B+P+4</t>
  </si>
  <si>
    <t>Leja dokumenti 05-351/05-0168744/18</t>
  </si>
  <si>
    <t>23.08.2018</t>
  </si>
  <si>
    <t>15.11.2018</t>
  </si>
  <si>
    <t>Shemsi Ibrahimi</t>
  </si>
  <si>
    <t>"Enggroup" Sh.P.K</t>
  </si>
  <si>
    <t>Leja dokumenti 05-351/02-0206083/18</t>
  </si>
  <si>
    <t>10.08.2018</t>
  </si>
  <si>
    <t>RIT Kosovë(A.U.K) College</t>
  </si>
  <si>
    <t>N.N.SH "Via Project"</t>
  </si>
  <si>
    <t>Ndërtim Tarracë</t>
  </si>
  <si>
    <t>Leja dokumenti 05-350/02-0196611/18</t>
  </si>
  <si>
    <t>14.11.2018</t>
  </si>
  <si>
    <t>Hakif Gashi</t>
  </si>
  <si>
    <t>"4M" sh.p.k</t>
  </si>
  <si>
    <t>Leja dokumenti 05-351/02-0183980/18</t>
  </si>
  <si>
    <t>Habibe Metolli</t>
  </si>
  <si>
    <t>Leja dokumenti 05-351/02-0142429/18</t>
  </si>
  <si>
    <t>11.05.2018</t>
  </si>
  <si>
    <t>Leja dokumenti 05-351/02-0089840/18</t>
  </si>
  <si>
    <t>Leja dokumenti 05-351/02-0111891/18</t>
  </si>
  <si>
    <t>28.09.2018</t>
  </si>
  <si>
    <t>05.11.2018</t>
  </si>
  <si>
    <t>Sherafedin Kastrati</t>
  </si>
  <si>
    <t>"Plisi Group" sh.p.k</t>
  </si>
  <si>
    <t>2B+P+6</t>
  </si>
  <si>
    <t>Leja dokumenti 05-351/02-0236922/18</t>
  </si>
  <si>
    <t>Selatin Gashi dhe Nermina Gashi</t>
  </si>
  <si>
    <t>Leja dokumenti 05-351/02-0186941/18</t>
  </si>
  <si>
    <t>01.11.2018</t>
  </si>
  <si>
    <t>Abdulla,Shukrane dhe Imran Hoxha</t>
  </si>
  <si>
    <t>"Delta Invest"</t>
  </si>
  <si>
    <t>N. Sh "Vedesk Project "</t>
  </si>
  <si>
    <t>Leja dokumenti 05-351/02-0094533/18</t>
  </si>
  <si>
    <t>27.11.2018</t>
  </si>
  <si>
    <t>Ali Mehmeti,Rrahman Duli,Ismet Duli,Mimoza Lokaj,Rexhep Mustafa,Arianit Makolli,Osman Osmani,Selim Mustafa,Xhyla Jakupi,Shaip Xhelili</t>
  </si>
  <si>
    <t>"R&amp;RUKOLLI" sh.p.k</t>
  </si>
  <si>
    <t>Max-Arch</t>
  </si>
  <si>
    <t>2B+S+P+14</t>
  </si>
  <si>
    <t>Leja dokumenti 05-351/02-0150723/18</t>
  </si>
  <si>
    <t>23.11.2018</t>
  </si>
  <si>
    <t>Afrim Kalaja</t>
  </si>
  <si>
    <t>"GM Architecture"</t>
  </si>
  <si>
    <t>Leja dokumenti 05-351/02-0204327/18</t>
  </si>
  <si>
    <t>Drejtoria e Pronës e Komunës së Prishtinës</t>
  </si>
  <si>
    <t>19.11.2018</t>
  </si>
  <si>
    <t>Mentor Vitija</t>
  </si>
  <si>
    <t>"Agullimi-A" sh.p.k</t>
  </si>
  <si>
    <t>Objekt Parashkollor-Çerdhe</t>
  </si>
  <si>
    <t>Leja dokumenti 05-351/02-0172932/18</t>
  </si>
  <si>
    <t>Sadri Lipaj dhe Hajriz Ferizi</t>
  </si>
  <si>
    <t>"Aspen Architecture" sh.p.k</t>
  </si>
  <si>
    <t>26.11.2018</t>
  </si>
  <si>
    <t>Muhamed (Hasan)Rexhepi</t>
  </si>
  <si>
    <t>"AM-Project"</t>
  </si>
  <si>
    <t>Leja dokumenti 05-351/02-0226472/18</t>
  </si>
  <si>
    <t>Naim Kllokoqi</t>
  </si>
  <si>
    <t>Leja dokumenti 05-351/02-0191400</t>
  </si>
  <si>
    <t>30.11.2018</t>
  </si>
  <si>
    <t>Besim Gashi</t>
  </si>
  <si>
    <t>Leja dokumenti 05-351/02-0227222/18</t>
  </si>
  <si>
    <t>AS Project</t>
  </si>
  <si>
    <t>Objekt i përkoshëm</t>
  </si>
  <si>
    <t>Leja dokumenti 05-351/02-0111902/18</t>
  </si>
  <si>
    <t>09.11.2018</t>
  </si>
  <si>
    <t>Shefqet Krasniqi</t>
  </si>
  <si>
    <t>N.Sh "PH-ARCHDESIGN"</t>
  </si>
  <si>
    <t>Llukar-Prishitinë</t>
  </si>
  <si>
    <t>Leja dokumenti 05-351/02-0270188/18</t>
  </si>
  <si>
    <t>07.04.2018</t>
  </si>
  <si>
    <t>Rustem Rukolli,Hidajete Sallihaj,Gani,Arben Kelmendi,Ekrem Skender,Valdet dhe Fitim Kacandolli</t>
  </si>
  <si>
    <t>"R&amp;R Rukolli "</t>
  </si>
  <si>
    <t>-B+S+P+7+Nk; -2B+S+P+7+Nk</t>
  </si>
  <si>
    <t>Leja dokumenti 05-351/02-0080978/17</t>
  </si>
  <si>
    <t>29.10.2018</t>
  </si>
  <si>
    <t>"ERVB" Sh.p.k</t>
  </si>
  <si>
    <t>A.I.D 'Archides'</t>
  </si>
  <si>
    <t>Leja dokumenti 05-350/02-0250242/18</t>
  </si>
  <si>
    <t>29.11.2018</t>
  </si>
  <si>
    <t>Lum Gashi,Mihride Hyseni,Osman dhe Artan Sejdiu dhe Lumnije Gashi,Etem Gashi,Rexhep Maliqi,Arben Ismajli,Nazmi Thaqi,Hysen Kuleta,Qamil Haxhiu,Bedrije Maliqi,Sheeqir Jupolli,Hajriz Gashi,Izjadin Tahiri</t>
  </si>
  <si>
    <t>"Dardania SH Company" sh.p.k</t>
  </si>
  <si>
    <t>"GM Architecture" shh.p.k</t>
  </si>
  <si>
    <t>Prishtinë</t>
  </si>
  <si>
    <t>B+S+P+10</t>
  </si>
  <si>
    <t>Leja dokumenti 05-351/02-0142875/18</t>
  </si>
  <si>
    <t>20.12.2017</t>
  </si>
  <si>
    <t>20.12.2018</t>
  </si>
  <si>
    <t>Jahir Shillova</t>
  </si>
  <si>
    <t>"Tower Group'' Sh.p.k</t>
  </si>
  <si>
    <t>Leja Dokumenti 05-351/02-0313806/17</t>
  </si>
  <si>
    <t>12.11.2018</t>
  </si>
  <si>
    <t>18.12.2018</t>
  </si>
  <si>
    <t>Visar Dragidella</t>
  </si>
  <si>
    <t>"VIArchitects"</t>
  </si>
  <si>
    <t>Marec</t>
  </si>
  <si>
    <t>Objekt Bujqësorë-Depo frigoriferike</t>
  </si>
  <si>
    <t>Leja dokumenti 05-351/02-0270580/18</t>
  </si>
  <si>
    <t>Faruk Ibrahimaj dhe Jehonë Podrimqaku</t>
  </si>
  <si>
    <t>Fark Ibrahimaj dhe Jehona Podrimqaku</t>
  </si>
  <si>
    <t>Leja dokumenti 05-351/02-0186794/18</t>
  </si>
  <si>
    <t>17.12.2018</t>
  </si>
  <si>
    <t>Shkelzen Sylaj,Rrustem Dërmaku,Fadil Latifaj ,Hazir Zhitija,Avdyl Zhitija,Selvete Shahini,Gazmend Sylaj,Enver Azemi,Nazif Zylfiu,Begush Sadiku</t>
  </si>
  <si>
    <t>"Uni Project" sh.p.k</t>
  </si>
  <si>
    <t>"Vedesk Project" N.SH</t>
  </si>
  <si>
    <t>Leja dokumenti 05-351/02-0191929-18</t>
  </si>
  <si>
    <t>10.12.2018</t>
  </si>
  <si>
    <t>Idriz Gashi</t>
  </si>
  <si>
    <t>Leja dokumenti 05-351/02-0203762/18</t>
  </si>
  <si>
    <t>05.12.2018</t>
  </si>
  <si>
    <t>Pllumb,Jakup,Ujup,Avdullah Shaqiri</t>
  </si>
  <si>
    <t>Valoni Company sh.p.k</t>
  </si>
  <si>
    <t>-2B+P+8</t>
  </si>
  <si>
    <t>Leja dokumenti 05-351/02-0237197/18</t>
  </si>
  <si>
    <t>03.09.2018</t>
  </si>
  <si>
    <t>Gazmend Haliti dhe Sani Osmani</t>
  </si>
  <si>
    <t>'Pro Art'' N.N.P</t>
  </si>
  <si>
    <t>(P+1)*19</t>
  </si>
  <si>
    <t>Leja dokumenti 05-351/02/0214674/18</t>
  </si>
  <si>
    <r>
      <t xml:space="preserve">Sipërfaqja totale ndërtimore në  </t>
    </r>
    <r>
      <rPr>
        <b/>
        <sz val="12"/>
        <color rgb="FFFF0000"/>
        <rFont val="Arial"/>
        <family val="2"/>
      </rPr>
      <t>m²</t>
    </r>
  </si>
  <si>
    <t>Avdyl Shoshi dhe Haki Lakna</t>
  </si>
  <si>
    <t>"Art Enginering"</t>
  </si>
  <si>
    <t>"A2 Engineering sh.p.k'</t>
  </si>
  <si>
    <t>Leja dokumenti 05-351/02-0224298/18</t>
  </si>
  <si>
    <t>Nazmi(Nuhi)Rexhepi</t>
  </si>
  <si>
    <t>Bërnicë e Epërme</t>
  </si>
  <si>
    <t>Objekt i përkoshëm afarist</t>
  </si>
  <si>
    <t>Leje dokumenti 05-351/02-0220084/18</t>
  </si>
  <si>
    <t>Fadil Gashi</t>
  </si>
  <si>
    <t>"Pro Joni" n.t.p</t>
  </si>
  <si>
    <t>Busi</t>
  </si>
  <si>
    <t>Objekt Bujqësorë +Depo</t>
  </si>
  <si>
    <t>Leja dokumenti 05-350/02-0264325/18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</si>
</sst>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0"/>
    <numFmt numFmtId="166" formatCode="_ * #,##0.00_)\ [$€-1]_ ;_ * \(#,##0.00\)\ [$€-1]_ ;_ * &quot;-&quot;??_)\ [$€-1]_ ;_ @_ "/>
    <numFmt numFmtId="167" formatCode="[$€-2]\ #,##0.00;[Red]\-[$€-2]\ #,##0.00"/>
    <numFmt numFmtId="168" formatCode="dd/mm/yyyy;@"/>
    <numFmt numFmtId="169" formatCode="d\.m\.yy;@"/>
  </numFmts>
  <fonts count="25" x14ac:knownFonts="1">
    <font>
      <sz val="10"/>
      <color rgb="FF000000"/>
      <name val="Arial"/>
    </font>
    <font>
      <b/>
      <sz val="21"/>
      <color rgb="FF0000FF"/>
      <name val="Arial"/>
      <family val="2"/>
    </font>
    <font>
      <b/>
      <sz val="20"/>
      <color rgb="FF0000FF"/>
      <name val="Arial"/>
      <family val="2"/>
    </font>
    <font>
      <b/>
      <sz val="12"/>
      <color rgb="FF000000"/>
      <name val="Arial"/>
      <family val="2"/>
    </font>
    <font>
      <sz val="10"/>
      <color rgb="FF000000"/>
      <name val="Arial"/>
      <family val="2"/>
    </font>
    <font>
      <b/>
      <sz val="18"/>
      <color rgb="FF1155CC"/>
      <name val="Arial"/>
      <family val="2"/>
    </font>
    <font>
      <sz val="10"/>
      <name val="Arial"/>
      <family val="2"/>
    </font>
    <font>
      <b/>
      <sz val="18"/>
      <name val="Arial"/>
      <family val="2"/>
    </font>
    <font>
      <b/>
      <sz val="12"/>
      <name val="Arial"/>
      <family val="2"/>
    </font>
    <font>
      <sz val="10"/>
      <name val="Arial"/>
      <family val="2"/>
    </font>
    <font>
      <b/>
      <sz val="12"/>
      <color rgb="FFFF0000"/>
      <name val="Arial"/>
      <family val="2"/>
    </font>
    <font>
      <b/>
      <sz val="12"/>
      <color rgb="FFFF0000"/>
      <name val="Arial"/>
      <family val="2"/>
    </font>
    <font>
      <b/>
      <sz val="12"/>
      <color rgb="FF000000"/>
      <name val="Arial"/>
      <family val="2"/>
    </font>
    <font>
      <sz val="10"/>
      <color rgb="FF00B050"/>
      <name val="Arial"/>
      <family val="2"/>
    </font>
    <font>
      <sz val="10"/>
      <color rgb="FFFF0000"/>
      <name val="Arial"/>
      <family val="2"/>
    </font>
    <font>
      <b/>
      <sz val="12"/>
      <color rgb="FF00B050"/>
      <name val="Arial"/>
      <family val="2"/>
    </font>
    <font>
      <b/>
      <sz val="11"/>
      <name val="Arial"/>
      <family val="2"/>
    </font>
    <font>
      <sz val="10"/>
      <name val="Arial"/>
      <family val="2"/>
    </font>
    <font>
      <sz val="10"/>
      <color rgb="FF000000"/>
      <name val="Arial"/>
    </font>
    <font>
      <sz val="10"/>
      <name val="Arial"/>
    </font>
    <font>
      <u/>
      <sz val="10"/>
      <color theme="10"/>
      <name val="Arial"/>
    </font>
    <font>
      <u/>
      <sz val="10"/>
      <color theme="10"/>
      <name val="Arial"/>
      <family val="2"/>
    </font>
    <font>
      <sz val="10"/>
      <color theme="1"/>
      <name val="Arial"/>
      <family val="2"/>
    </font>
    <font>
      <sz val="8"/>
      <color rgb="FF000000"/>
      <name val="Arial"/>
      <family val="2"/>
    </font>
    <font>
      <b/>
      <sz val="11"/>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51AEFF"/>
        <bgColor rgb="FF51AEFF"/>
      </patternFill>
    </fill>
    <fill>
      <patternFill patternType="solid">
        <fgColor indexed="65"/>
        <bgColor theme="0"/>
      </patternFill>
    </fill>
    <fill>
      <patternFill patternType="solid">
        <fgColor rgb="FFFFFFFF"/>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top style="hair">
        <color rgb="FF000000"/>
      </top>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434343"/>
      </bottom>
      <diagonal/>
    </border>
    <border>
      <left style="thin">
        <color rgb="FF000000"/>
      </left>
      <right style="thin">
        <color rgb="FF000000"/>
      </right>
      <top style="hair">
        <color rgb="FF434343"/>
      </top>
      <bottom style="thin">
        <color rgb="FF000000"/>
      </bottom>
      <diagonal/>
    </border>
    <border>
      <left style="thin">
        <color rgb="FF000000"/>
      </left>
      <right style="thin">
        <color rgb="FF000000"/>
      </right>
      <top/>
      <bottom style="hair">
        <color rgb="FF434343"/>
      </bottom>
      <diagonal/>
    </border>
    <border>
      <left style="thin">
        <color rgb="FF000000"/>
      </left>
      <right style="thin">
        <color rgb="FF000000"/>
      </right>
      <top style="hair">
        <color rgb="FF434343"/>
      </top>
      <bottom style="hair">
        <color rgb="FF434343"/>
      </bottom>
      <diagonal/>
    </border>
    <border>
      <left style="thin">
        <color rgb="FF000000"/>
      </left>
      <right style="thin">
        <color rgb="FF000000"/>
      </right>
      <top style="hair">
        <color rgb="FF434343"/>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theme="1"/>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theme="1"/>
      </right>
      <top style="thin">
        <color theme="1"/>
      </top>
      <bottom style="thin">
        <color theme="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1"/>
      </left>
      <right/>
      <top style="thin">
        <color theme="1"/>
      </top>
      <bottom style="thin">
        <color theme="1"/>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s>
  <cellStyleXfs count="4">
    <xf numFmtId="0" fontId="0" fillId="0" borderId="0"/>
    <xf numFmtId="164" fontId="4" fillId="0" borderId="0" applyFont="0" applyFill="0" applyBorder="0" applyAlignment="0" applyProtection="0"/>
    <xf numFmtId="0" fontId="20" fillId="0" borderId="0" applyNumberFormat="0" applyFill="0" applyBorder="0" applyAlignment="0" applyProtection="0"/>
    <xf numFmtId="0" fontId="4" fillId="0" borderId="0"/>
  </cellStyleXfs>
  <cellXfs count="239">
    <xf numFmtId="0" fontId="0" fillId="0" borderId="0" xfId="0" applyFont="1" applyAlignment="1"/>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1" xfId="0" applyFont="1" applyBorder="1" applyAlignment="1">
      <alignment horizontal="left" vertical="center" wrapText="1"/>
    </xf>
    <xf numFmtId="164" fontId="13" fillId="0" borderId="1" xfId="1" applyFont="1" applyBorder="1" applyAlignment="1">
      <alignment horizontal="right" vertical="center"/>
    </xf>
    <xf numFmtId="166" fontId="14" fillId="0" borderId="1" xfId="1" applyNumberFormat="1" applyFont="1" applyBorder="1" applyAlignment="1">
      <alignment horizontal="left" vertical="center"/>
    </xf>
    <xf numFmtId="166" fontId="14" fillId="0" borderId="0" xfId="1" applyNumberFormat="1" applyFont="1" applyAlignment="1">
      <alignment horizontal="left" vertical="center"/>
    </xf>
    <xf numFmtId="166" fontId="6" fillId="0" borderId="1" xfId="0" applyNumberFormat="1" applyFont="1" applyBorder="1" applyAlignment="1">
      <alignment horizontal="left" vertical="center"/>
    </xf>
    <xf numFmtId="166" fontId="6" fillId="0" borderId="3" xfId="0" applyNumberFormat="1" applyFont="1" applyBorder="1" applyAlignment="1">
      <alignment horizontal="left" vertical="center"/>
    </xf>
    <xf numFmtId="166" fontId="6" fillId="0" borderId="4" xfId="0" applyNumberFormat="1" applyFont="1" applyBorder="1" applyAlignment="1">
      <alignment horizontal="left" vertical="center"/>
    </xf>
    <xf numFmtId="166" fontId="6" fillId="0" borderId="6" xfId="0" applyNumberFormat="1" applyFont="1" applyBorder="1" applyAlignment="1">
      <alignment horizontal="left" vertical="center"/>
    </xf>
    <xf numFmtId="166" fontId="6" fillId="0" borderId="7" xfId="0" applyNumberFormat="1" applyFont="1" applyBorder="1" applyAlignment="1">
      <alignment horizontal="left" vertical="center"/>
    </xf>
    <xf numFmtId="166" fontId="6" fillId="0" borderId="9" xfId="0" applyNumberFormat="1" applyFont="1" applyBorder="1" applyAlignment="1">
      <alignment horizontal="left" vertical="center"/>
    </xf>
    <xf numFmtId="166" fontId="6" fillId="0" borderId="10" xfId="0" applyNumberFormat="1" applyFont="1" applyBorder="1" applyAlignment="1">
      <alignment horizontal="left" vertical="center"/>
    </xf>
    <xf numFmtId="166" fontId="6" fillId="0" borderId="0" xfId="0" applyNumberFormat="1" applyFont="1" applyAlignment="1">
      <alignment horizontal="left" vertical="center"/>
    </xf>
    <xf numFmtId="166" fontId="6" fillId="0" borderId="2" xfId="0" applyNumberFormat="1" applyFont="1" applyBorder="1" applyAlignment="1">
      <alignment horizontal="left" vertical="center"/>
    </xf>
    <xf numFmtId="166" fontId="6" fillId="0" borderId="11" xfId="0" applyNumberFormat="1" applyFont="1" applyBorder="1" applyAlignment="1">
      <alignment horizontal="left" vertical="center"/>
    </xf>
    <xf numFmtId="166" fontId="0" fillId="2" borderId="9" xfId="0" applyNumberFormat="1" applyFont="1" applyFill="1" applyBorder="1" applyAlignment="1">
      <alignment horizontal="left" vertical="center" wrapText="1"/>
    </xf>
    <xf numFmtId="166" fontId="6" fillId="0" borderId="12" xfId="0" applyNumberFormat="1" applyFont="1" applyBorder="1" applyAlignment="1">
      <alignment horizontal="left" vertical="center"/>
    </xf>
    <xf numFmtId="166" fontId="6" fillId="0" borderId="13" xfId="0" applyNumberFormat="1" applyFont="1" applyBorder="1" applyAlignment="1">
      <alignment horizontal="left" vertical="center"/>
    </xf>
    <xf numFmtId="166" fontId="6" fillId="0" borderId="10" xfId="0" applyNumberFormat="1" applyFont="1" applyBorder="1" applyAlignment="1">
      <alignment horizontal="left" vertical="center" wrapText="1"/>
    </xf>
    <xf numFmtId="166" fontId="6" fillId="0" borderId="15" xfId="0" applyNumberFormat="1" applyFont="1" applyBorder="1" applyAlignment="1">
      <alignment horizontal="left" vertical="center"/>
    </xf>
    <xf numFmtId="164" fontId="15" fillId="0" borderId="17" xfId="1" applyFont="1" applyBorder="1" applyAlignment="1">
      <alignment vertical="center"/>
    </xf>
    <xf numFmtId="166" fontId="12" fillId="0" borderId="17" xfId="0" applyNumberFormat="1" applyFont="1" applyBorder="1" applyAlignment="1">
      <alignment vertical="center"/>
    </xf>
    <xf numFmtId="166" fontId="11" fillId="0" borderId="17" xfId="1" applyNumberFormat="1" applyFont="1" applyBorder="1" applyAlignment="1">
      <alignment horizontal="right" vertical="center"/>
    </xf>
    <xf numFmtId="0" fontId="17" fillId="0" borderId="1" xfId="0" applyFont="1" applyBorder="1" applyAlignment="1">
      <alignment horizontal="left" vertical="center" wrapText="1"/>
    </xf>
    <xf numFmtId="166" fontId="17" fillId="0" borderId="1" xfId="0" applyNumberFormat="1" applyFont="1" applyBorder="1" applyAlignment="1">
      <alignment horizontal="left" vertical="center"/>
    </xf>
    <xf numFmtId="166" fontId="14" fillId="0" borderId="1" xfId="0" applyNumberFormat="1" applyFont="1" applyBorder="1" applyAlignment="1">
      <alignment horizontal="left" vertical="center"/>
    </xf>
    <xf numFmtId="0" fontId="6" fillId="0" borderId="2"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0" borderId="18" xfId="0" applyFont="1" applyBorder="1" applyAlignment="1">
      <alignment horizontal="left" vertical="center" wrapText="1"/>
    </xf>
    <xf numFmtId="0" fontId="18" fillId="0" borderId="1" xfId="0" applyFont="1" applyBorder="1" applyAlignment="1">
      <alignment vertical="center" wrapText="1"/>
    </xf>
    <xf numFmtId="0" fontId="16" fillId="0" borderId="0" xfId="0" applyFont="1" applyFill="1" applyBorder="1" applyAlignment="1">
      <alignment horizontal="center" vertical="center"/>
    </xf>
    <xf numFmtId="0" fontId="0" fillId="0" borderId="0" xfId="0" applyFont="1" applyBorder="1" applyAlignment="1"/>
    <xf numFmtId="0" fontId="6" fillId="0" borderId="19" xfId="0" applyFont="1" applyBorder="1" applyAlignment="1">
      <alignment horizontal="left" vertical="center" wrapText="1"/>
    </xf>
    <xf numFmtId="0" fontId="6" fillId="0" borderId="17" xfId="0" applyFont="1" applyBorder="1" applyAlignment="1">
      <alignment horizontal="left" vertical="center" wrapText="1"/>
    </xf>
    <xf numFmtId="0" fontId="0" fillId="4" borderId="0" xfId="0" applyFont="1" applyFill="1" applyBorder="1" applyAlignment="1"/>
    <xf numFmtId="0" fontId="6" fillId="0" borderId="1" xfId="3" applyFont="1" applyBorder="1" applyAlignment="1">
      <alignment horizontal="left" wrapText="1"/>
    </xf>
    <xf numFmtId="0" fontId="4" fillId="0" borderId="1" xfId="3" applyFont="1" applyBorder="1" applyAlignment="1">
      <alignment horizontal="left" wrapText="1"/>
    </xf>
    <xf numFmtId="165" fontId="4" fillId="0" borderId="1" xfId="3" applyNumberFormat="1" applyFont="1" applyBorder="1" applyAlignment="1">
      <alignment horizontal="right"/>
    </xf>
    <xf numFmtId="0" fontId="6" fillId="0" borderId="1" xfId="3" applyFont="1" applyBorder="1" applyAlignment="1">
      <alignment horizontal="left"/>
    </xf>
    <xf numFmtId="0" fontId="4" fillId="0" borderId="1" xfId="3" applyFont="1" applyBorder="1" applyAlignment="1">
      <alignment horizontal="left"/>
    </xf>
    <xf numFmtId="0" fontId="6" fillId="0" borderId="18" xfId="3" applyFont="1" applyBorder="1" applyAlignment="1">
      <alignment horizontal="left" wrapText="1"/>
    </xf>
    <xf numFmtId="0" fontId="6" fillId="0" borderId="18" xfId="3" applyFont="1" applyBorder="1" applyAlignment="1">
      <alignment horizontal="left"/>
    </xf>
    <xf numFmtId="165" fontId="14" fillId="0" borderId="1" xfId="3" applyNumberFormat="1" applyFont="1" applyBorder="1" applyAlignment="1">
      <alignment horizontal="right"/>
    </xf>
    <xf numFmtId="0" fontId="18" fillId="0" borderId="0" xfId="0" applyFont="1" applyAlignment="1">
      <alignment horizontal="left" vertical="center" wrapText="1"/>
    </xf>
    <xf numFmtId="0" fontId="0" fillId="0" borderId="0" xfId="0" applyFont="1" applyAlignment="1">
      <alignment wrapText="1"/>
    </xf>
    <xf numFmtId="0" fontId="12" fillId="0" borderId="17" xfId="0" applyFont="1" applyBorder="1" applyAlignment="1">
      <alignment vertical="center" wrapText="1"/>
    </xf>
    <xf numFmtId="4" fontId="13" fillId="0" borderId="1" xfId="3" applyNumberFormat="1" applyFont="1" applyBorder="1" applyAlignment="1">
      <alignment horizontal="right"/>
    </xf>
    <xf numFmtId="165" fontId="6" fillId="0" borderId="1" xfId="3" applyNumberFormat="1" applyFont="1" applyBorder="1" applyAlignment="1">
      <alignment horizontal="right"/>
    </xf>
    <xf numFmtId="0" fontId="20" fillId="0" borderId="1" xfId="2" applyBorder="1" applyAlignment="1">
      <alignment wrapText="1"/>
    </xf>
    <xf numFmtId="0" fontId="20" fillId="0" borderId="1" xfId="2" applyBorder="1" applyAlignment="1">
      <alignment horizontal="left" vertical="center" wrapText="1"/>
    </xf>
    <xf numFmtId="164" fontId="13" fillId="0" borderId="2" xfId="1" applyFont="1" applyBorder="1" applyAlignment="1">
      <alignment horizontal="right" vertical="center"/>
    </xf>
    <xf numFmtId="164" fontId="13" fillId="0" borderId="8" xfId="1" applyFont="1" applyBorder="1" applyAlignment="1">
      <alignment horizontal="right" vertical="center"/>
    </xf>
    <xf numFmtId="166" fontId="6" fillId="0" borderId="2" xfId="0" applyNumberFormat="1" applyFont="1" applyBorder="1" applyAlignment="1">
      <alignment horizontal="left" vertical="center"/>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0" fillId="0" borderId="0" xfId="0" applyFont="1" applyBorder="1" applyAlignment="1">
      <alignment wrapText="1"/>
    </xf>
    <xf numFmtId="0" fontId="8" fillId="3" borderId="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0" fillId="0" borderId="1" xfId="2"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wrapText="1"/>
    </xf>
    <xf numFmtId="0" fontId="20" fillId="0" borderId="2" xfId="2" applyBorder="1" applyAlignment="1">
      <alignment horizontal="left" vertical="center" wrapText="1"/>
    </xf>
    <xf numFmtId="166" fontId="6" fillId="0" borderId="8" xfId="0" applyNumberFormat="1" applyFont="1" applyBorder="1" applyAlignment="1">
      <alignment horizontal="left" vertical="center"/>
    </xf>
    <xf numFmtId="0" fontId="20" fillId="0" borderId="8" xfId="2" applyBorder="1" applyAlignment="1">
      <alignment horizontal="left" vertical="center" wrapText="1"/>
    </xf>
    <xf numFmtId="0" fontId="4" fillId="0" borderId="33" xfId="0" applyFont="1" applyBorder="1" applyAlignment="1">
      <alignment vertical="center" wrapText="1"/>
    </xf>
    <xf numFmtId="167" fontId="4" fillId="0" borderId="33" xfId="0" applyNumberFormat="1" applyFont="1" applyBorder="1" applyAlignment="1">
      <alignment vertical="center" wrapText="1"/>
    </xf>
    <xf numFmtId="0" fontId="20" fillId="0" borderId="33" xfId="2" applyBorder="1" applyAlignment="1">
      <alignment vertical="center" wrapText="1"/>
    </xf>
    <xf numFmtId="0" fontId="19" fillId="2" borderId="1" xfId="0" applyFont="1" applyFill="1" applyBorder="1" applyAlignment="1">
      <alignment horizontal="left" vertical="center" wrapText="1"/>
    </xf>
    <xf numFmtId="0" fontId="19" fillId="0" borderId="0" xfId="0" applyFont="1" applyAlignment="1">
      <alignment horizontal="left" vertical="center" wrapText="1"/>
    </xf>
    <xf numFmtId="0" fontId="20" fillId="0" borderId="1" xfId="2" applyBorder="1" applyAlignment="1">
      <alignment horizontal="left" vertical="center" wrapText="1"/>
    </xf>
    <xf numFmtId="166" fontId="14" fillId="0" borderId="8" xfId="0" applyNumberFormat="1" applyFont="1" applyBorder="1" applyAlignment="1">
      <alignment horizontal="left" vertical="center"/>
    </xf>
    <xf numFmtId="0" fontId="4" fillId="0" borderId="31" xfId="0" applyFont="1" applyBorder="1" applyAlignment="1">
      <alignment wrapText="1"/>
    </xf>
    <xf numFmtId="0" fontId="7" fillId="3" borderId="5" xfId="0" applyFont="1" applyFill="1" applyBorder="1" applyAlignment="1">
      <alignment horizontal="center" vertical="center" wrapText="1"/>
    </xf>
    <xf numFmtId="165" fontId="8" fillId="3" borderId="5" xfId="0" applyNumberFormat="1" applyFont="1" applyFill="1" applyBorder="1" applyAlignment="1">
      <alignment horizontal="center" vertical="center" wrapText="1"/>
    </xf>
    <xf numFmtId="0" fontId="18" fillId="0" borderId="8" xfId="0" applyFont="1" applyBorder="1" applyAlignment="1">
      <alignment horizontal="left" vertical="center" wrapText="1"/>
    </xf>
    <xf numFmtId="4" fontId="13" fillId="0" borderId="8" xfId="3" applyNumberFormat="1" applyFont="1" applyBorder="1" applyAlignment="1">
      <alignment horizontal="right"/>
    </xf>
    <xf numFmtId="165" fontId="6" fillId="0" borderId="8" xfId="3" applyNumberFormat="1" applyFont="1" applyBorder="1" applyAlignment="1">
      <alignment horizontal="right"/>
    </xf>
    <xf numFmtId="165" fontId="14" fillId="0" borderId="8" xfId="3" applyNumberFormat="1" applyFont="1" applyBorder="1" applyAlignment="1">
      <alignment horizontal="right"/>
    </xf>
    <xf numFmtId="0" fontId="19" fillId="0" borderId="8" xfId="0" applyFont="1" applyBorder="1" applyAlignment="1">
      <alignment horizontal="left" vertical="center" wrapText="1"/>
    </xf>
    <xf numFmtId="0" fontId="20" fillId="0" borderId="8" xfId="2" applyBorder="1" applyAlignment="1">
      <alignment wrapText="1"/>
    </xf>
    <xf numFmtId="0" fontId="4" fillId="0" borderId="17" xfId="0" applyFont="1" applyBorder="1" applyAlignment="1">
      <alignment vertical="center" wrapText="1"/>
    </xf>
    <xf numFmtId="167" fontId="4" fillId="0" borderId="17" xfId="0" applyNumberFormat="1" applyFont="1" applyBorder="1" applyAlignment="1">
      <alignment vertical="center" wrapText="1"/>
    </xf>
    <xf numFmtId="0" fontId="20" fillId="0" borderId="17" xfId="2" applyBorder="1" applyAlignment="1">
      <alignment wrapText="1"/>
    </xf>
    <xf numFmtId="0" fontId="4" fillId="0" borderId="17" xfId="0" applyFont="1" applyBorder="1" applyAlignment="1">
      <alignment wrapText="1"/>
    </xf>
    <xf numFmtId="167" fontId="4" fillId="0" borderId="17" xfId="0" applyNumberFormat="1" applyFont="1" applyBorder="1" applyAlignment="1">
      <alignment wrapText="1"/>
    </xf>
    <xf numFmtId="0" fontId="20" fillId="0" borderId="17" xfId="2" applyBorder="1" applyAlignment="1">
      <alignment vertical="center" wrapText="1"/>
    </xf>
    <xf numFmtId="168" fontId="4" fillId="5" borderId="23" xfId="0" applyNumberFormat="1" applyFont="1" applyFill="1" applyBorder="1" applyAlignment="1">
      <alignment horizontal="left" vertical="center" wrapText="1"/>
    </xf>
    <xf numFmtId="168" fontId="4" fillId="5" borderId="23" xfId="0" applyNumberFormat="1" applyFont="1" applyFill="1" applyBorder="1" applyAlignment="1">
      <alignment horizontal="left" wrapText="1"/>
    </xf>
    <xf numFmtId="168" fontId="4" fillId="5" borderId="17" xfId="0" applyNumberFormat="1" applyFont="1" applyFill="1" applyBorder="1" applyAlignment="1">
      <alignment horizontal="left" vertical="center" wrapText="1"/>
    </xf>
    <xf numFmtId="168" fontId="4" fillId="5" borderId="23" xfId="0" applyNumberFormat="1" applyFont="1" applyFill="1" applyBorder="1" applyAlignment="1">
      <alignment horizontal="center" vertical="center" wrapText="1"/>
    </xf>
    <xf numFmtId="168" fontId="4" fillId="5" borderId="17" xfId="0" applyNumberFormat="1" applyFont="1" applyFill="1" applyBorder="1" applyAlignment="1">
      <alignment horizontal="center" vertical="center" wrapText="1"/>
    </xf>
    <xf numFmtId="4" fontId="13" fillId="0" borderId="17" xfId="0" applyNumberFormat="1" applyFont="1" applyBorder="1" applyAlignment="1">
      <alignment vertical="center" wrapText="1"/>
    </xf>
    <xf numFmtId="4" fontId="13" fillId="0" borderId="17" xfId="0" applyNumberFormat="1" applyFont="1" applyBorder="1" applyAlignment="1">
      <alignment wrapText="1"/>
    </xf>
    <xf numFmtId="0" fontId="13" fillId="0" borderId="17" xfId="0" applyFont="1" applyBorder="1" applyAlignment="1">
      <alignment wrapText="1"/>
    </xf>
    <xf numFmtId="165" fontId="3" fillId="3" borderId="0" xfId="0" applyNumberFormat="1" applyFont="1" applyFill="1" applyAlignment="1">
      <alignment horizontal="left" vertical="top" wrapText="1"/>
    </xf>
    <xf numFmtId="0" fontId="19" fillId="0" borderId="37" xfId="0" applyFont="1" applyBorder="1" applyAlignment="1">
      <alignment horizontal="left" vertical="center" wrapText="1"/>
    </xf>
    <xf numFmtId="0" fontId="20" fillId="0" borderId="2" xfId="2" applyBorder="1" applyAlignment="1">
      <alignment wrapText="1"/>
    </xf>
    <xf numFmtId="0" fontId="21" fillId="0" borderId="17" xfId="2" applyFont="1" applyBorder="1" applyAlignment="1">
      <alignment wrapText="1"/>
    </xf>
    <xf numFmtId="0" fontId="6" fillId="0" borderId="37" xfId="3" applyFont="1" applyBorder="1" applyAlignment="1">
      <alignment horizontal="left" wrapText="1"/>
    </xf>
    <xf numFmtId="0" fontId="20" fillId="0" borderId="17" xfId="2" applyBorder="1" applyAlignment="1">
      <alignment horizontal="center" vertical="center" wrapText="1"/>
    </xf>
    <xf numFmtId="0" fontId="4" fillId="0" borderId="37" xfId="3" applyFont="1" applyBorder="1" applyAlignment="1">
      <alignment horizontal="left" wrapText="1"/>
    </xf>
    <xf numFmtId="0" fontId="20" fillId="0" borderId="5" xfId="2" applyBorder="1" applyAlignment="1">
      <alignment wrapText="1"/>
    </xf>
    <xf numFmtId="0" fontId="4" fillId="5" borderId="17" xfId="0" applyFont="1" applyFill="1" applyBorder="1" applyAlignment="1">
      <alignment vertical="center" wrapText="1"/>
    </xf>
    <xf numFmtId="0" fontId="4" fillId="5" borderId="23" xfId="0" applyFont="1" applyFill="1" applyBorder="1" applyAlignment="1">
      <alignment vertical="center" wrapText="1"/>
    </xf>
    <xf numFmtId="0" fontId="4" fillId="5" borderId="23" xfId="0" applyFont="1" applyFill="1" applyBorder="1" applyAlignment="1">
      <alignment wrapText="1"/>
    </xf>
    <xf numFmtId="168" fontId="19" fillId="2" borderId="19" xfId="0" applyNumberFormat="1" applyFont="1" applyFill="1" applyBorder="1" applyAlignment="1">
      <alignment horizontal="left" vertical="center" wrapText="1"/>
    </xf>
    <xf numFmtId="168" fontId="19" fillId="2" borderId="1" xfId="0" applyNumberFormat="1" applyFont="1" applyFill="1" applyBorder="1" applyAlignment="1">
      <alignment horizontal="left" vertical="center" wrapText="1"/>
    </xf>
    <xf numFmtId="168" fontId="6" fillId="2" borderId="19" xfId="3" applyNumberFormat="1" applyFont="1" applyFill="1" applyBorder="1" applyAlignment="1">
      <alignment horizontal="left"/>
    </xf>
    <xf numFmtId="168" fontId="6" fillId="2" borderId="1" xfId="3" applyNumberFormat="1" applyFont="1" applyFill="1" applyBorder="1" applyAlignment="1">
      <alignment horizontal="left"/>
    </xf>
    <xf numFmtId="168" fontId="4" fillId="2" borderId="19" xfId="3" applyNumberFormat="1" applyFont="1" applyFill="1" applyBorder="1" applyAlignment="1">
      <alignment horizontal="left"/>
    </xf>
    <xf numFmtId="168" fontId="4" fillId="2" borderId="1" xfId="3" applyNumberFormat="1" applyFont="1" applyFill="1" applyBorder="1" applyAlignment="1">
      <alignment horizontal="left"/>
    </xf>
    <xf numFmtId="168" fontId="19" fillId="2" borderId="19" xfId="0" applyNumberFormat="1" applyFont="1" applyFill="1" applyBorder="1" applyAlignment="1">
      <alignment horizontal="left" vertical="center"/>
    </xf>
    <xf numFmtId="168" fontId="19" fillId="2" borderId="1" xfId="0" applyNumberFormat="1" applyFont="1" applyFill="1" applyBorder="1" applyAlignment="1">
      <alignment horizontal="left" vertical="center"/>
    </xf>
    <xf numFmtId="168" fontId="18" fillId="2" borderId="19" xfId="0" applyNumberFormat="1" applyFont="1" applyFill="1" applyBorder="1" applyAlignment="1">
      <alignment horizontal="left" vertical="center"/>
    </xf>
    <xf numFmtId="168" fontId="18" fillId="2" borderId="1" xfId="0" applyNumberFormat="1" applyFont="1" applyFill="1" applyBorder="1" applyAlignment="1">
      <alignment horizontal="left" vertical="center"/>
    </xf>
    <xf numFmtId="168" fontId="17" fillId="2" borderId="35" xfId="0" applyNumberFormat="1" applyFont="1" applyFill="1" applyBorder="1" applyAlignment="1">
      <alignment horizontal="left" vertical="center"/>
    </xf>
    <xf numFmtId="168" fontId="17" fillId="2" borderId="2" xfId="0" applyNumberFormat="1" applyFont="1" applyFill="1" applyBorder="1" applyAlignment="1">
      <alignment horizontal="left" vertical="center"/>
    </xf>
    <xf numFmtId="168" fontId="17" fillId="2" borderId="34" xfId="0" applyNumberFormat="1" applyFont="1" applyFill="1" applyBorder="1" applyAlignment="1">
      <alignment horizontal="left" vertical="center"/>
    </xf>
    <xf numFmtId="168" fontId="17" fillId="2" borderId="8" xfId="0" applyNumberFormat="1" applyFont="1" applyFill="1" applyBorder="1" applyAlignment="1">
      <alignment horizontal="left" vertical="center"/>
    </xf>
    <xf numFmtId="168" fontId="17" fillId="2" borderId="19" xfId="0" applyNumberFormat="1" applyFont="1" applyFill="1" applyBorder="1" applyAlignment="1">
      <alignment horizontal="left" vertical="center"/>
    </xf>
    <xf numFmtId="168" fontId="17" fillId="2" borderId="1" xfId="0" applyNumberFormat="1" applyFont="1" applyFill="1" applyBorder="1" applyAlignment="1">
      <alignment horizontal="left" vertical="center"/>
    </xf>
    <xf numFmtId="168" fontId="9" fillId="2" borderId="19" xfId="0" applyNumberFormat="1" applyFont="1" applyFill="1" applyBorder="1" applyAlignment="1">
      <alignment horizontal="left" vertical="center"/>
    </xf>
    <xf numFmtId="168" fontId="9" fillId="2" borderId="1" xfId="0" applyNumberFormat="1" applyFont="1" applyFill="1" applyBorder="1" applyAlignment="1">
      <alignment horizontal="left" vertical="center"/>
    </xf>
    <xf numFmtId="168" fontId="9" fillId="2" borderId="35" xfId="0" applyNumberFormat="1" applyFont="1" applyFill="1" applyBorder="1" applyAlignment="1">
      <alignment horizontal="left" vertical="center"/>
    </xf>
    <xf numFmtId="168" fontId="9" fillId="2" borderId="2" xfId="0" applyNumberFormat="1" applyFont="1" applyFill="1" applyBorder="1" applyAlignment="1">
      <alignment horizontal="left" vertical="center"/>
    </xf>
    <xf numFmtId="168" fontId="9" fillId="2" borderId="23" xfId="0" applyNumberFormat="1" applyFont="1" applyFill="1" applyBorder="1" applyAlignment="1">
      <alignment horizontal="left" vertical="center"/>
    </xf>
    <xf numFmtId="168" fontId="9" fillId="2" borderId="17" xfId="0" applyNumberFormat="1" applyFont="1" applyFill="1" applyBorder="1" applyAlignment="1">
      <alignment horizontal="left" vertical="center"/>
    </xf>
    <xf numFmtId="169" fontId="4" fillId="5" borderId="36" xfId="0" applyNumberFormat="1" applyFont="1" applyFill="1" applyBorder="1" applyAlignment="1">
      <alignment horizontal="left" vertical="top" wrapText="1"/>
    </xf>
    <xf numFmtId="169" fontId="4" fillId="5" borderId="33" xfId="0" applyNumberFormat="1" applyFont="1" applyFill="1" applyBorder="1" applyAlignment="1">
      <alignment horizontal="left" vertical="top" wrapText="1"/>
    </xf>
    <xf numFmtId="0" fontId="4" fillId="5" borderId="23" xfId="0" applyFont="1" applyFill="1" applyBorder="1" applyAlignment="1">
      <alignment horizontal="left" vertical="center" wrapText="1"/>
    </xf>
    <xf numFmtId="168" fontId="4" fillId="2" borderId="1" xfId="3" applyNumberFormat="1" applyFont="1" applyFill="1" applyBorder="1" applyAlignment="1">
      <alignment horizontal="left" vertical="center"/>
    </xf>
    <xf numFmtId="0" fontId="4" fillId="5" borderId="23" xfId="0" applyFont="1" applyFill="1" applyBorder="1" applyAlignment="1">
      <alignment horizontal="left" wrapText="1"/>
    </xf>
    <xf numFmtId="168" fontId="4" fillId="5" borderId="23" xfId="0" applyNumberFormat="1" applyFont="1" applyFill="1" applyBorder="1" applyAlignment="1">
      <alignment wrapText="1"/>
    </xf>
    <xf numFmtId="168" fontId="18" fillId="2" borderId="34" xfId="0" applyNumberFormat="1" applyFont="1" applyFill="1" applyBorder="1" applyAlignment="1">
      <alignment wrapText="1"/>
    </xf>
    <xf numFmtId="168" fontId="19" fillId="2" borderId="19" xfId="0" applyNumberFormat="1" applyFont="1" applyFill="1" applyBorder="1" applyAlignment="1">
      <alignment wrapText="1"/>
    </xf>
    <xf numFmtId="168" fontId="18" fillId="2" borderId="19" xfId="0" applyNumberFormat="1" applyFont="1" applyFill="1" applyBorder="1" applyAlignment="1">
      <alignment wrapText="1"/>
    </xf>
    <xf numFmtId="168" fontId="19" fillId="2" borderId="18" xfId="0" applyNumberFormat="1" applyFont="1" applyFill="1" applyBorder="1" applyAlignment="1">
      <alignment wrapText="1"/>
    </xf>
    <xf numFmtId="168" fontId="19" fillId="0" borderId="19" xfId="0" applyNumberFormat="1" applyFont="1" applyBorder="1" applyAlignment="1">
      <alignment wrapText="1"/>
    </xf>
    <xf numFmtId="165" fontId="14" fillId="0" borderId="1" xfId="3" applyNumberFormat="1" applyFont="1" applyBorder="1" applyAlignment="1">
      <alignment horizontal="right" vertical="center"/>
    </xf>
    <xf numFmtId="165" fontId="14" fillId="0" borderId="1" xfId="3" applyNumberFormat="1" applyFont="1" applyBorder="1" applyAlignment="1">
      <alignment horizontal="center" vertical="center"/>
    </xf>
    <xf numFmtId="165" fontId="0" fillId="0" borderId="0" xfId="0" applyNumberFormat="1" applyFont="1" applyBorder="1" applyAlignment="1"/>
    <xf numFmtId="165" fontId="14" fillId="0" borderId="8" xfId="3" applyNumberFormat="1" applyFont="1" applyBorder="1" applyAlignment="1">
      <alignment horizontal="right" vertical="center"/>
    </xf>
    <xf numFmtId="0" fontId="22" fillId="0" borderId="17" xfId="0" applyFont="1" applyBorder="1" applyAlignment="1">
      <alignment wrapText="1"/>
    </xf>
    <xf numFmtId="4" fontId="13" fillId="0" borderId="1" xfId="3" applyNumberFormat="1" applyFont="1" applyBorder="1" applyAlignment="1">
      <alignment horizontal="right" vertical="center"/>
    </xf>
    <xf numFmtId="165" fontId="6" fillId="0" borderId="1" xfId="3" applyNumberFormat="1" applyFont="1" applyBorder="1" applyAlignment="1">
      <alignment horizontal="right" vertical="center"/>
    </xf>
    <xf numFmtId="164" fontId="13" fillId="0" borderId="1" xfId="1" applyFont="1" applyBorder="1" applyAlignment="1">
      <alignment vertical="center"/>
    </xf>
    <xf numFmtId="166" fontId="6" fillId="0" borderId="1" xfId="0" applyNumberFormat="1" applyFont="1" applyBorder="1" applyAlignment="1">
      <alignment vertical="center"/>
    </xf>
    <xf numFmtId="165" fontId="14" fillId="0" borderId="1" xfId="3" applyNumberFormat="1" applyFont="1" applyBorder="1" applyAlignment="1">
      <alignment vertical="center"/>
    </xf>
    <xf numFmtId="166" fontId="6" fillId="0" borderId="1" xfId="0" applyNumberFormat="1" applyFont="1" applyBorder="1" applyAlignment="1">
      <alignment horizontal="right" vertical="center"/>
    </xf>
    <xf numFmtId="0" fontId="21" fillId="0" borderId="8" xfId="2" applyFont="1" applyBorder="1" applyAlignment="1">
      <alignment horizontal="left" vertical="top" wrapText="1"/>
    </xf>
    <xf numFmtId="0" fontId="20" fillId="0" borderId="17" xfId="2" applyBorder="1" applyAlignment="1">
      <alignment horizontal="left" vertical="center" wrapText="1"/>
    </xf>
    <xf numFmtId="166" fontId="6" fillId="0" borderId="38" xfId="0" applyNumberFormat="1" applyFont="1" applyBorder="1" applyAlignment="1">
      <alignment horizontal="left" vertical="center"/>
    </xf>
    <xf numFmtId="167" fontId="4" fillId="0" borderId="39" xfId="0" applyNumberFormat="1" applyFont="1" applyBorder="1" applyAlignment="1">
      <alignment vertical="center" wrapText="1"/>
    </xf>
    <xf numFmtId="166" fontId="6" fillId="0" borderId="40" xfId="0" applyNumberFormat="1" applyFont="1" applyBorder="1" applyAlignment="1">
      <alignment horizontal="left" vertical="center"/>
    </xf>
    <xf numFmtId="0" fontId="17" fillId="0" borderId="35" xfId="0" applyFont="1" applyBorder="1" applyAlignment="1">
      <alignment horizontal="left" vertical="center" wrapText="1"/>
    </xf>
    <xf numFmtId="0" fontId="4" fillId="0" borderId="36" xfId="0" applyFont="1" applyBorder="1" applyAlignment="1">
      <alignment vertical="center" wrapText="1"/>
    </xf>
    <xf numFmtId="0" fontId="17" fillId="0" borderId="34" xfId="0" applyFont="1" applyBorder="1" applyAlignment="1">
      <alignment horizontal="left" vertical="center" wrapText="1"/>
    </xf>
    <xf numFmtId="166" fontId="14" fillId="0" borderId="17" xfId="0" applyNumberFormat="1" applyFont="1" applyBorder="1" applyAlignment="1">
      <alignment horizontal="left" vertical="center"/>
    </xf>
    <xf numFmtId="0" fontId="21" fillId="0" borderId="17" xfId="2" applyFont="1" applyBorder="1" applyAlignment="1">
      <alignment horizontal="left" vertical="center" wrapText="1"/>
    </xf>
    <xf numFmtId="0" fontId="4" fillId="5" borderId="41" xfId="0" applyFont="1" applyFill="1" applyBorder="1" applyAlignment="1">
      <alignment vertical="center" wrapText="1"/>
    </xf>
    <xf numFmtId="0" fontId="4" fillId="0" borderId="41" xfId="0" applyFont="1" applyBorder="1" applyAlignment="1">
      <alignment vertical="center" wrapText="1"/>
    </xf>
    <xf numFmtId="4" fontId="13" fillId="0" borderId="41" xfId="0" applyNumberFormat="1" applyFont="1" applyBorder="1" applyAlignment="1">
      <alignment vertical="center" wrapText="1"/>
    </xf>
    <xf numFmtId="167" fontId="4" fillId="0" borderId="41" xfId="0" applyNumberFormat="1" applyFont="1" applyBorder="1" applyAlignment="1">
      <alignment vertical="center" wrapText="1"/>
    </xf>
    <xf numFmtId="0" fontId="20" fillId="0" borderId="41" xfId="2" applyBorder="1" applyAlignment="1">
      <alignment vertical="center" wrapText="1"/>
    </xf>
    <xf numFmtId="0" fontId="4" fillId="0" borderId="41" xfId="0" applyFont="1" applyBorder="1" applyAlignment="1">
      <alignment horizontal="left" vertical="top" wrapText="1"/>
    </xf>
    <xf numFmtId="0" fontId="22" fillId="0" borderId="17" xfId="0" applyFont="1" applyBorder="1" applyAlignment="1">
      <alignment vertical="center" wrapText="1"/>
    </xf>
    <xf numFmtId="165" fontId="0" fillId="0" borderId="0" xfId="0" applyNumberFormat="1" applyFont="1" applyAlignment="1">
      <alignment wrapText="1"/>
    </xf>
    <xf numFmtId="0" fontId="4" fillId="0" borderId="20" xfId="0" applyFont="1" applyBorder="1" applyAlignment="1">
      <alignment vertical="center" wrapText="1"/>
    </xf>
    <xf numFmtId="0" fontId="4" fillId="5" borderId="20" xfId="0" applyFont="1" applyFill="1" applyBorder="1" applyAlignment="1">
      <alignment vertical="center" wrapText="1"/>
    </xf>
    <xf numFmtId="0" fontId="22" fillId="0" borderId="20" xfId="0" applyFont="1" applyBorder="1" applyAlignment="1">
      <alignment vertical="center" wrapText="1"/>
    </xf>
    <xf numFmtId="0" fontId="14" fillId="0" borderId="20" xfId="0" applyFont="1" applyBorder="1" applyAlignment="1">
      <alignment vertical="center" wrapText="1"/>
    </xf>
    <xf numFmtId="0" fontId="4" fillId="0" borderId="20" xfId="0" applyFont="1" applyBorder="1" applyAlignment="1">
      <alignment wrapText="1"/>
    </xf>
    <xf numFmtId="0" fontId="20" fillId="0" borderId="20" xfId="2" applyBorder="1" applyAlignment="1">
      <alignment vertical="center" wrapText="1"/>
    </xf>
    <xf numFmtId="0" fontId="22" fillId="0" borderId="41" xfId="0" applyFont="1" applyBorder="1" applyAlignment="1">
      <alignment vertical="center" wrapText="1"/>
    </xf>
    <xf numFmtId="0" fontId="4" fillId="5" borderId="25" xfId="0" applyFont="1" applyFill="1" applyBorder="1" applyAlignment="1">
      <alignment vertical="center" wrapText="1"/>
    </xf>
    <xf numFmtId="0" fontId="4" fillId="5" borderId="29" xfId="0" applyFont="1" applyFill="1" applyBorder="1" applyAlignment="1">
      <alignment vertical="center" wrapText="1"/>
    </xf>
    <xf numFmtId="167" fontId="14" fillId="0" borderId="17" xfId="0" applyNumberFormat="1" applyFont="1" applyBorder="1" applyAlignment="1">
      <alignment vertical="center" wrapText="1"/>
    </xf>
    <xf numFmtId="165" fontId="14" fillId="0" borderId="8" xfId="3" applyNumberFormat="1" applyFont="1" applyBorder="1" applyAlignment="1">
      <alignment vertical="center"/>
    </xf>
    <xf numFmtId="14" fontId="4" fillId="5" borderId="17" xfId="0" applyNumberFormat="1" applyFont="1" applyFill="1" applyBorder="1" applyAlignment="1">
      <alignment horizontal="left" vertical="top" wrapText="1"/>
    </xf>
    <xf numFmtId="0" fontId="24"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0" fillId="0" borderId="1" xfId="2" applyBorder="1" applyAlignment="1">
      <alignment horizontal="left" vertical="center" wrapText="1"/>
    </xf>
    <xf numFmtId="168" fontId="17" fillId="2" borderId="35" xfId="0" applyNumberFormat="1" applyFont="1" applyFill="1" applyBorder="1" applyAlignment="1">
      <alignment horizontal="left" vertical="center"/>
    </xf>
    <xf numFmtId="168" fontId="17" fillId="2" borderId="34" xfId="0" applyNumberFormat="1" applyFont="1" applyFill="1" applyBorder="1" applyAlignment="1">
      <alignment horizontal="left" vertical="center"/>
    </xf>
    <xf numFmtId="168" fontId="17" fillId="2" borderId="2" xfId="0" applyNumberFormat="1" applyFont="1" applyFill="1" applyBorder="1" applyAlignment="1">
      <alignment horizontal="left" vertical="center"/>
    </xf>
    <xf numFmtId="168" fontId="17" fillId="2" borderId="8" xfId="0" applyNumberFormat="1" applyFont="1" applyFill="1" applyBorder="1" applyAlignment="1">
      <alignment horizontal="left" vertical="center"/>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164" fontId="13" fillId="0" borderId="2" xfId="1" applyFont="1" applyBorder="1" applyAlignment="1">
      <alignment horizontal="center" vertical="center"/>
    </xf>
    <xf numFmtId="164" fontId="13" fillId="0" borderId="8" xfId="1" applyFont="1" applyBorder="1" applyAlignment="1">
      <alignment horizontal="center" vertical="center"/>
    </xf>
    <xf numFmtId="166" fontId="14" fillId="0" borderId="2" xfId="0" applyNumberFormat="1" applyFont="1" applyBorder="1" applyAlignment="1">
      <alignment horizontal="left" vertical="center"/>
    </xf>
    <xf numFmtId="166" fontId="14" fillId="0" borderId="8" xfId="0" applyNumberFormat="1" applyFont="1" applyBorder="1" applyAlignment="1">
      <alignment horizontal="left" vertical="center"/>
    </xf>
    <xf numFmtId="166" fontId="14" fillId="0" borderId="2" xfId="1" applyNumberFormat="1" applyFont="1" applyBorder="1" applyAlignment="1">
      <alignment horizontal="left" vertical="center"/>
    </xf>
    <xf numFmtId="166" fontId="14" fillId="0" borderId="5" xfId="1" applyNumberFormat="1" applyFont="1" applyBorder="1" applyAlignment="1">
      <alignment horizontal="left" vertical="center"/>
    </xf>
    <xf numFmtId="166" fontId="14" fillId="0" borderId="8" xfId="1" applyNumberFormat="1"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 fillId="2" borderId="17" xfId="0" applyFont="1" applyFill="1" applyBorder="1" applyAlignment="1">
      <alignment horizontal="center" vertical="center"/>
    </xf>
    <xf numFmtId="0" fontId="0" fillId="0" borderId="17" xfId="0" applyFont="1" applyBorder="1" applyAlignment="1">
      <alignment vertical="center"/>
    </xf>
    <xf numFmtId="164" fontId="13" fillId="0" borderId="2" xfId="1" applyFont="1" applyBorder="1" applyAlignment="1">
      <alignment horizontal="right" vertical="center"/>
    </xf>
    <xf numFmtId="164" fontId="13" fillId="0" borderId="5" xfId="1" applyFont="1" applyBorder="1" applyAlignment="1">
      <alignment horizontal="right" vertical="center"/>
    </xf>
    <xf numFmtId="164" fontId="13" fillId="0" borderId="8" xfId="1" applyFont="1" applyBorder="1" applyAlignment="1">
      <alignment horizontal="right"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168" fontId="9" fillId="2" borderId="35" xfId="0" applyNumberFormat="1" applyFont="1" applyFill="1" applyBorder="1" applyAlignment="1">
      <alignment horizontal="left" vertical="center"/>
    </xf>
    <xf numFmtId="168" fontId="9" fillId="2" borderId="18" xfId="0" applyNumberFormat="1" applyFont="1" applyFill="1" applyBorder="1" applyAlignment="1">
      <alignment horizontal="left" vertical="center"/>
    </xf>
    <xf numFmtId="168" fontId="9" fillId="2" borderId="34" xfId="0" applyNumberFormat="1" applyFont="1" applyFill="1" applyBorder="1" applyAlignment="1">
      <alignment horizontal="left" vertical="center"/>
    </xf>
    <xf numFmtId="168" fontId="9" fillId="2" borderId="2" xfId="0" applyNumberFormat="1" applyFont="1" applyFill="1" applyBorder="1" applyAlignment="1">
      <alignment horizontal="left" vertical="center"/>
    </xf>
    <xf numFmtId="168" fontId="9" fillId="2" borderId="5" xfId="0" applyNumberFormat="1" applyFont="1" applyFill="1" applyBorder="1" applyAlignment="1">
      <alignment horizontal="left" vertical="center"/>
    </xf>
    <xf numFmtId="168" fontId="9" fillId="2" borderId="8" xfId="0" applyNumberFormat="1" applyFont="1" applyFill="1" applyBorder="1" applyAlignment="1">
      <alignment horizontal="left" vertical="center"/>
    </xf>
    <xf numFmtId="166" fontId="14" fillId="0" borderId="5" xfId="0" applyNumberFormat="1" applyFont="1" applyBorder="1" applyAlignment="1">
      <alignment horizontal="left" vertical="center"/>
    </xf>
    <xf numFmtId="166" fontId="6" fillId="0" borderId="16" xfId="0" applyNumberFormat="1" applyFont="1" applyBorder="1" applyAlignment="1">
      <alignment horizontal="left" vertical="center" wrapText="1"/>
    </xf>
    <xf numFmtId="166" fontId="6" fillId="0" borderId="8" xfId="0" applyNumberFormat="1" applyFont="1" applyBorder="1" applyAlignment="1">
      <alignment horizontal="left" vertical="center" wrapText="1"/>
    </xf>
    <xf numFmtId="166" fontId="6" fillId="0" borderId="2" xfId="0" applyNumberFormat="1" applyFont="1" applyBorder="1" applyAlignment="1">
      <alignment horizontal="left" vertical="center"/>
    </xf>
    <xf numFmtId="166" fontId="6" fillId="0" borderId="14" xfId="0" applyNumberFormat="1" applyFont="1" applyBorder="1" applyAlignment="1">
      <alignment horizontal="left" vertical="center"/>
    </xf>
    <xf numFmtId="0" fontId="4" fillId="0" borderId="42" xfId="0" applyFont="1" applyBorder="1" applyAlignment="1">
      <alignment wrapText="1"/>
    </xf>
    <xf numFmtId="0" fontId="4" fillId="0" borderId="43" xfId="0" applyFont="1" applyBorder="1" applyAlignment="1">
      <alignment wrapText="1"/>
    </xf>
    <xf numFmtId="0" fontId="4" fillId="5" borderId="17" xfId="0" applyFont="1" applyFill="1" applyBorder="1" applyAlignment="1">
      <alignment wrapText="1"/>
    </xf>
    <xf numFmtId="14" fontId="4" fillId="5" borderId="23" xfId="0" applyNumberFormat="1" applyFont="1" applyFill="1" applyBorder="1" applyAlignment="1">
      <alignment horizontal="left" vertical="top" wrapText="1"/>
    </xf>
  </cellXfs>
  <cellStyles count="4">
    <cellStyle name="Comma" xfId="1" builtinId="3"/>
    <cellStyle name="Hyperlink" xfId="2" builtinId="8"/>
    <cellStyle name="Normal" xfId="0" builtinId="0"/>
    <cellStyle name="Normal 2" xfId="3"/>
  </cellStyles>
  <dxfs count="0"/>
  <tableStyles count="0" defaultTableStyle="TableStyleMedium2" defaultPivotStyle="PivotStyleLight16"/>
  <colors>
    <mruColors>
      <color rgb="FF0C398A"/>
      <color rgb="FF1153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13</xdr:col>
      <xdr:colOff>676275</xdr:colOff>
      <xdr:row>0</xdr:row>
      <xdr:rowOff>28575</xdr:rowOff>
    </xdr:from>
    <xdr:to>
      <xdr:col>14</xdr:col>
      <xdr:colOff>238125</xdr:colOff>
      <xdr:row>4</xdr:row>
      <xdr:rowOff>247650</xdr:rowOff>
    </xdr:to>
    <xdr:pic>
      <xdr:nvPicPr>
        <xdr:cNvPr id="4" name="image1.jpg" title="Image"/>
        <xdr:cNvPicPr preferRelativeResize="0"/>
      </xdr:nvPicPr>
      <xdr:blipFill>
        <a:blip xmlns:r="http://schemas.openxmlformats.org/officeDocument/2006/relationships" r:embed="rId1" cstate="print"/>
        <a:stretch>
          <a:fillRect/>
        </a:stretch>
      </xdr:blipFill>
      <xdr:spPr>
        <a:xfrm>
          <a:off x="16211550" y="28575"/>
          <a:ext cx="971550" cy="13049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sj726rtOXCTM6KNoYRYMU5q9ddP8U63e" TargetMode="External"/><Relationship Id="rId21" Type="http://schemas.openxmlformats.org/officeDocument/2006/relationships/hyperlink" Target="https://drive.google.com/open?id=1t6oVRFpiHghOyljUleqDEEu_KlRUXF3S" TargetMode="External"/><Relationship Id="rId42" Type="http://schemas.openxmlformats.org/officeDocument/2006/relationships/hyperlink" Target="https://drive.google.com/open?id=12kQdBOPQr2XzdVDL3DFqQCzbAa3LDLdK" TargetMode="External"/><Relationship Id="rId63" Type="http://schemas.openxmlformats.org/officeDocument/2006/relationships/hyperlink" Target="https://drive.google.com/open?id=1CHfJ6DnTd_J2aQhm5QDj-MY-6Uy5blbl" TargetMode="External"/><Relationship Id="rId84" Type="http://schemas.openxmlformats.org/officeDocument/2006/relationships/hyperlink" Target="https://drive.google.com/open?id=1aZpV2jgKVbkF5aSMMsUtUBv_iCUmUQix" TargetMode="External"/><Relationship Id="rId138" Type="http://schemas.openxmlformats.org/officeDocument/2006/relationships/hyperlink" Target="https://drive.google.com/open?id=1at-QS0GOEdsVbjU4Awzh2MeIbb5Uns6W" TargetMode="External"/><Relationship Id="rId159" Type="http://schemas.openxmlformats.org/officeDocument/2006/relationships/hyperlink" Target="https://drive.google.com/open?id=1o9ghjC9zSi1dQs0TlTiVl1x3OlrXHBYP" TargetMode="External"/><Relationship Id="rId170" Type="http://schemas.openxmlformats.org/officeDocument/2006/relationships/hyperlink" Target="https://drive.google.com/open?id=1MLZHUMjzRdOfmp-fzk4GUDGNNFHDE87a" TargetMode="External"/><Relationship Id="rId191" Type="http://schemas.openxmlformats.org/officeDocument/2006/relationships/hyperlink" Target="https://drive.google.com/open?id=1t76KB5zw1Fq3JWwYvtqpufEfJ56m4g8B" TargetMode="External"/><Relationship Id="rId107" Type="http://schemas.openxmlformats.org/officeDocument/2006/relationships/hyperlink" Target="https://drive.google.com/open?id=1pe0HNv1n6hVewnonRPANHbeyNl43wvwE" TargetMode="External"/><Relationship Id="rId11" Type="http://schemas.openxmlformats.org/officeDocument/2006/relationships/hyperlink" Target="https://drive.google.com/open?id=1rEJ2170loQsZIM76QJv-nwgyh3Q5R8sh" TargetMode="External"/><Relationship Id="rId32" Type="http://schemas.openxmlformats.org/officeDocument/2006/relationships/hyperlink" Target="https://drive.google.com/open?id=16urScgu1Vv6O15gk5jLmLsIvnMBs7lnR" TargetMode="External"/><Relationship Id="rId53" Type="http://schemas.openxmlformats.org/officeDocument/2006/relationships/hyperlink" Target="https://drive.google.com/open?id=1oDOCHmqq-Hnt5ctc9-lyU6HfGKx4HcFU" TargetMode="External"/><Relationship Id="rId74" Type="http://schemas.openxmlformats.org/officeDocument/2006/relationships/hyperlink" Target="https://drive.google.com/open?id=1wyGsedLZsOhq-ZwIpP8NrHVhGDrE5JMD" TargetMode="External"/><Relationship Id="rId128" Type="http://schemas.openxmlformats.org/officeDocument/2006/relationships/hyperlink" Target="https://drive.google.com/open?id=1GXuPTx3BPJL9HFN7xcwXJl77ikxigBvb" TargetMode="External"/><Relationship Id="rId149" Type="http://schemas.openxmlformats.org/officeDocument/2006/relationships/hyperlink" Target="https://drive.google.com/open?id=1x-z966Ou5_3boZWY0HVKtcDzzrMdKkt9" TargetMode="External"/><Relationship Id="rId5" Type="http://schemas.openxmlformats.org/officeDocument/2006/relationships/hyperlink" Target="https://drive.google.com/open?id=1GdN3bVV2N6Wbmt2ZDpQCFXIw1xrOySCc" TargetMode="External"/><Relationship Id="rId95" Type="http://schemas.openxmlformats.org/officeDocument/2006/relationships/hyperlink" Target="https://drive.google.com/open?id=1xQOWX8bCvVYklT1oOS2tACdx-z20gwke" TargetMode="External"/><Relationship Id="rId160" Type="http://schemas.openxmlformats.org/officeDocument/2006/relationships/hyperlink" Target="https://drive.google.com/open?id=1qVwBkBrYY-j8YN0kXhnC2-k4K7b5f8Z-" TargetMode="External"/><Relationship Id="rId181" Type="http://schemas.openxmlformats.org/officeDocument/2006/relationships/hyperlink" Target="https://drive.google.com/open?id=1ajZjcS8AS5n9J6dmswV8T9LZa-mOnRYo" TargetMode="External"/><Relationship Id="rId22" Type="http://schemas.openxmlformats.org/officeDocument/2006/relationships/hyperlink" Target="https://drive.google.com/open?id=1KQoVsUjGhK0B0XBtKxwWC1KhX-KvVIfJ" TargetMode="External"/><Relationship Id="rId43" Type="http://schemas.openxmlformats.org/officeDocument/2006/relationships/hyperlink" Target="https://drive.google.com/open?id=1v-L3DRvg_RkPDikWzl--F0TiyoExatK0" TargetMode="External"/><Relationship Id="rId64" Type="http://schemas.openxmlformats.org/officeDocument/2006/relationships/hyperlink" Target="https://drive.google.com/open?id=1fP7uh2naqRGyjsSIxioKRvFzqCCruJjp" TargetMode="External"/><Relationship Id="rId118" Type="http://schemas.openxmlformats.org/officeDocument/2006/relationships/hyperlink" Target="https://drive.google.com/open?id=1meYFVO2Ix6c3vlInpvqN8TP2rGOPLPV4" TargetMode="External"/><Relationship Id="rId139" Type="http://schemas.openxmlformats.org/officeDocument/2006/relationships/hyperlink" Target="https://drive.google.com/open?id=1Vgw0PTC19YomYARtKwEpmJgfenZo53BR" TargetMode="External"/><Relationship Id="rId85" Type="http://schemas.openxmlformats.org/officeDocument/2006/relationships/hyperlink" Target="https://drive.google.com/open?id=1n_cSuftc_QXj8jUIBJJNFRz1T3FBASep" TargetMode="External"/><Relationship Id="rId150" Type="http://schemas.openxmlformats.org/officeDocument/2006/relationships/hyperlink" Target="https://drive.google.com/open?id=1Ae6SHwl27ZE3oJ7xm2sycc9uBBLtEydi" TargetMode="External"/><Relationship Id="rId171" Type="http://schemas.openxmlformats.org/officeDocument/2006/relationships/hyperlink" Target="https://drive.google.com/open?id=1SAFHLrzSf7NAo4BU4OdwiuHoeC3Wf3Ye" TargetMode="External"/><Relationship Id="rId192" Type="http://schemas.openxmlformats.org/officeDocument/2006/relationships/hyperlink" Target="https://drive.google.com/open?id=1yU3WXTKG7GEcPRExswPcOPrurDfU0ti6" TargetMode="External"/><Relationship Id="rId12" Type="http://schemas.openxmlformats.org/officeDocument/2006/relationships/hyperlink" Target="https://drive.google.com/open?id=1963uvchaqmvjCikfaYFohY348WVLgtbn" TargetMode="External"/><Relationship Id="rId33" Type="http://schemas.openxmlformats.org/officeDocument/2006/relationships/hyperlink" Target="https://drive.google.com/open?id=1foeHB4x95-YQanixQVujer7irUuD1lD1" TargetMode="External"/><Relationship Id="rId108" Type="http://schemas.openxmlformats.org/officeDocument/2006/relationships/hyperlink" Target="https://drive.google.com/open?id=1YrOJ_TkaTSmMjVOXuAs6WgovqMTVncaS" TargetMode="External"/><Relationship Id="rId129" Type="http://schemas.openxmlformats.org/officeDocument/2006/relationships/hyperlink" Target="https://drive.google.com/open?id=1_3LyNvGAb2Rfmza1fp8gGycdaAdTRUi5" TargetMode="External"/><Relationship Id="rId54" Type="http://schemas.openxmlformats.org/officeDocument/2006/relationships/hyperlink" Target="https://drive.google.com/open?id=1he0zTxFF5cD7SYiNvnJAZmltPJfTaw_u" TargetMode="External"/><Relationship Id="rId75" Type="http://schemas.openxmlformats.org/officeDocument/2006/relationships/hyperlink" Target="https://drive.google.com/open?id=1o2DZjjTBgoNnIrY6O69ihCMNJVLPzJXp" TargetMode="External"/><Relationship Id="rId96" Type="http://schemas.openxmlformats.org/officeDocument/2006/relationships/hyperlink" Target="https://drive.google.com/open?id=1HTl98MVqWAFzSJ3d4tNV7SCC_s9Cjjd5" TargetMode="External"/><Relationship Id="rId140" Type="http://schemas.openxmlformats.org/officeDocument/2006/relationships/hyperlink" Target="https://drive.google.com/open?id=1emS6ZHXmO4Ikbr654-kL-t6_mV3NJtwr" TargetMode="External"/><Relationship Id="rId161" Type="http://schemas.openxmlformats.org/officeDocument/2006/relationships/hyperlink" Target="https://drive.google.com/open?id=1Kop0AHALQoEwrIPKPDgXUjUukrDv6tMP" TargetMode="External"/><Relationship Id="rId182" Type="http://schemas.openxmlformats.org/officeDocument/2006/relationships/hyperlink" Target="https://drive.google.com/open?id=1cvQTmvDB-B94wu5vVRqyrpAzBX_6176R" TargetMode="External"/><Relationship Id="rId6" Type="http://schemas.openxmlformats.org/officeDocument/2006/relationships/hyperlink" Target="https://drive.google.com/open?id=1nUgL0zhc7CSFL-jfWG2rI5Fw4aWMX3f2" TargetMode="External"/><Relationship Id="rId23" Type="http://schemas.openxmlformats.org/officeDocument/2006/relationships/hyperlink" Target="https://drive.google.com/open?id=1ei0V4DHs3RcdyjT0zA7J_FjkVBcJS3UO" TargetMode="External"/><Relationship Id="rId119" Type="http://schemas.openxmlformats.org/officeDocument/2006/relationships/hyperlink" Target="https://drive.google.com/open?id=1h97ePAlp2b1Hw3gyhE0_NQ1RPEWvJlFh" TargetMode="External"/><Relationship Id="rId44" Type="http://schemas.openxmlformats.org/officeDocument/2006/relationships/hyperlink" Target="https://drive.google.com/open?id=1v-5s2uOc8b4q2ky_K2xSOsp1brs1e3_z" TargetMode="External"/><Relationship Id="rId65" Type="http://schemas.openxmlformats.org/officeDocument/2006/relationships/hyperlink" Target="https://drive.google.com/open?id=1tiN1FDYDWiDNmhhsntynWVVbHoqCKxxo" TargetMode="External"/><Relationship Id="rId86" Type="http://schemas.openxmlformats.org/officeDocument/2006/relationships/hyperlink" Target="https://drive.google.com/open?id=1YNeJpF77jVebpRE3M1529rhgaNMd1pFf" TargetMode="External"/><Relationship Id="rId130" Type="http://schemas.openxmlformats.org/officeDocument/2006/relationships/hyperlink" Target="https://drive.google.com/open?id=1Z8Dp5NkBTQXw-R4yHM_L-qnGcLOxeQV_" TargetMode="External"/><Relationship Id="rId151" Type="http://schemas.openxmlformats.org/officeDocument/2006/relationships/hyperlink" Target="https://drive.google.com/open?id=1tSf2qEOf9EA0XZOfh99SiCABPKWok-84" TargetMode="External"/><Relationship Id="rId172" Type="http://schemas.openxmlformats.org/officeDocument/2006/relationships/hyperlink" Target="https://drive.google.com/open?id=1S_dxTB20zG0DUn4gfwioP94P7nypph4X" TargetMode="External"/><Relationship Id="rId193" Type="http://schemas.openxmlformats.org/officeDocument/2006/relationships/hyperlink" Target="https://drive.google.com/open?id=1JLzHNgG1gLFUYz7jsD-S_hhffRLewoqn" TargetMode="External"/><Relationship Id="rId13" Type="http://schemas.openxmlformats.org/officeDocument/2006/relationships/hyperlink" Target="https://drive.google.com/open?id=127O_ZGqeustmHMMjxGxsClGEHaa4cJoy" TargetMode="External"/><Relationship Id="rId109" Type="http://schemas.openxmlformats.org/officeDocument/2006/relationships/hyperlink" Target="https://drive.google.com/open?id=1335W84Ni2s8Vwd-iievqvnyjDIGNR991" TargetMode="External"/><Relationship Id="rId34" Type="http://schemas.openxmlformats.org/officeDocument/2006/relationships/hyperlink" Target="https://drive.google.com/open?id=1xkiNE1WZL_O2PJ-IAEHVCcV4GWTUJ8tQ" TargetMode="External"/><Relationship Id="rId55" Type="http://schemas.openxmlformats.org/officeDocument/2006/relationships/hyperlink" Target="https://drive.google.com/open?id=1loR5metgDKtMgX4JlnaPxi9DsD8OHtvK" TargetMode="External"/><Relationship Id="rId76" Type="http://schemas.openxmlformats.org/officeDocument/2006/relationships/hyperlink" Target="https://drive.google.com/open?id=18vmdb6hmxqRAyoWP4EYecy9xqjcH53iW" TargetMode="External"/><Relationship Id="rId97" Type="http://schemas.openxmlformats.org/officeDocument/2006/relationships/hyperlink" Target="https://drive.google.com/open?id=1oLGAr9RoXooK1ZyCEMmEFmL0jLO531lT" TargetMode="External"/><Relationship Id="rId120" Type="http://schemas.openxmlformats.org/officeDocument/2006/relationships/hyperlink" Target="https://drive.google.com/open?id=1eCni-nDSHh_45ueyvYcj6zbF0pjSw4o4" TargetMode="External"/><Relationship Id="rId141" Type="http://schemas.openxmlformats.org/officeDocument/2006/relationships/hyperlink" Target="https://drive.google.com/open?id=1-zeTNbfnPtfke2GoUtNsCQaaQ7dKzZVv" TargetMode="External"/><Relationship Id="rId7" Type="http://schemas.openxmlformats.org/officeDocument/2006/relationships/hyperlink" Target="https://drive.google.com/open?id=1PIzM6ZLp0_gCR4gEL2Vp969kiC27IKd6" TargetMode="External"/><Relationship Id="rId162" Type="http://schemas.openxmlformats.org/officeDocument/2006/relationships/hyperlink" Target="https://drive.google.com/open?id=1gatJu27TcFYReCNsPW5pJbUrd2GB-1MI" TargetMode="External"/><Relationship Id="rId183" Type="http://schemas.openxmlformats.org/officeDocument/2006/relationships/hyperlink" Target="https://drive.google.com/open?id=1kUTdDne7TbStiSP8m1E0NwSWeaxPSfPY" TargetMode="External"/><Relationship Id="rId2" Type="http://schemas.openxmlformats.org/officeDocument/2006/relationships/hyperlink" Target="https://drive.google.com/open?id=1yi2cscDynFH_uiZEYJDpD_N_IByxHidT" TargetMode="External"/><Relationship Id="rId29" Type="http://schemas.openxmlformats.org/officeDocument/2006/relationships/hyperlink" Target="https://drive.google.com/open?id=1z-k9HZ9auwmbvhWuIttpLJBtf6ckXOkP" TargetMode="External"/><Relationship Id="rId24" Type="http://schemas.openxmlformats.org/officeDocument/2006/relationships/hyperlink" Target="https://drive.google.com/open?id=1DoQp5fmiOFGOSi8fz0SlVCGZwFtK7vOA" TargetMode="External"/><Relationship Id="rId40" Type="http://schemas.openxmlformats.org/officeDocument/2006/relationships/hyperlink" Target="https://drive.google.com/open?id=1akozzZYcw5bPJy9_dBmYgUO-QwJ8Ck9O" TargetMode="External"/><Relationship Id="rId45" Type="http://schemas.openxmlformats.org/officeDocument/2006/relationships/hyperlink" Target="https://drive.google.com/open?id=1m6BWwRtLAJHpdbOvg-1qzPxArEGtYQJ8" TargetMode="External"/><Relationship Id="rId66" Type="http://schemas.openxmlformats.org/officeDocument/2006/relationships/hyperlink" Target="https://drive.google.com/open?id=1zjDclzU4bv5GL24Ht7tZpew9PXKnA4OI" TargetMode="External"/><Relationship Id="rId87" Type="http://schemas.openxmlformats.org/officeDocument/2006/relationships/hyperlink" Target="https://drive.google.com/open?id=19KNdEqbqDyIl8k7GcXmWV3jtQDctrSfq" TargetMode="External"/><Relationship Id="rId110" Type="http://schemas.openxmlformats.org/officeDocument/2006/relationships/hyperlink" Target="https://drive.google.com/open?id=18hxmJj3zNXjmpX0TdcXB75voloNYhfto" TargetMode="External"/><Relationship Id="rId115" Type="http://schemas.openxmlformats.org/officeDocument/2006/relationships/hyperlink" Target="https://drive.google.com/open?id=1t2BVRcEeThZlcRGxFndtdHTI_ruuI1ET" TargetMode="External"/><Relationship Id="rId131" Type="http://schemas.openxmlformats.org/officeDocument/2006/relationships/hyperlink" Target="https://drive.google.com/open?id=1FbJm8wLmoKldU1B5bRbbYrMDQGYchAkX" TargetMode="External"/><Relationship Id="rId136" Type="http://schemas.openxmlformats.org/officeDocument/2006/relationships/hyperlink" Target="https://drive.google.com/open?id=1b7S2oYuIj8aF9Wv0MQB0AJTWcys0b6wM" TargetMode="External"/><Relationship Id="rId157" Type="http://schemas.openxmlformats.org/officeDocument/2006/relationships/hyperlink" Target="https://drive.google.com/open?id=1RNcQMzxRWPhc9O760Cdx3FLQQlqvU1Gg" TargetMode="External"/><Relationship Id="rId178" Type="http://schemas.openxmlformats.org/officeDocument/2006/relationships/hyperlink" Target="https://drive.google.com/open?id=1sMoDTO3RAsPHngHnNjnvbvAhwV6MH19J" TargetMode="External"/><Relationship Id="rId61" Type="http://schemas.openxmlformats.org/officeDocument/2006/relationships/hyperlink" Target="https://drive.google.com/open?id=1AXpx3rON0aadhuZN3Hr7Mr-9mqXEh6Jo" TargetMode="External"/><Relationship Id="rId82" Type="http://schemas.openxmlformats.org/officeDocument/2006/relationships/hyperlink" Target="https://drive.google.com/open?id=1Reobi5_ACjNlV1xSYrI2zIwJ0FSEAEE2" TargetMode="External"/><Relationship Id="rId152" Type="http://schemas.openxmlformats.org/officeDocument/2006/relationships/hyperlink" Target="https://drive.google.com/open?id=1TmYok_fcfr4fuvrI2kuptj3E4Ug-RQqU" TargetMode="External"/><Relationship Id="rId173" Type="http://schemas.openxmlformats.org/officeDocument/2006/relationships/hyperlink" Target="https://drive.google.com/open?id=1y_r46T3957fHG7GR9ZeQoQ25icmamBr6" TargetMode="External"/><Relationship Id="rId194" Type="http://schemas.openxmlformats.org/officeDocument/2006/relationships/hyperlink" Target="https://drive.google.com/open?id=1sjPB-ZZZPtBET1hEjysZTibQtynE8m5w" TargetMode="External"/><Relationship Id="rId199" Type="http://schemas.openxmlformats.org/officeDocument/2006/relationships/hyperlink" Target="https://drive.google.com/open?id=1FXfImPd_xzLPMuew2WVAXd4FBbfeb514" TargetMode="External"/><Relationship Id="rId203" Type="http://schemas.openxmlformats.org/officeDocument/2006/relationships/printerSettings" Target="../printerSettings/printerSettings1.bin"/><Relationship Id="rId19" Type="http://schemas.openxmlformats.org/officeDocument/2006/relationships/hyperlink" Target="https://drive.google.com/open?id=1KC7hAY_YFDphJGEkbdSIB9xG5MNeKqqL" TargetMode="External"/><Relationship Id="rId14" Type="http://schemas.openxmlformats.org/officeDocument/2006/relationships/hyperlink" Target="https://drive.google.com/open?id=1DcLT8r7RrA5MWhVudo6wDHNGNFhL4W0y" TargetMode="External"/><Relationship Id="rId30" Type="http://schemas.openxmlformats.org/officeDocument/2006/relationships/hyperlink" Target="https://drive.google.com/open?id=10K7mapgqpLGMZkqVYk2D7tCr5TdwhHi-" TargetMode="External"/><Relationship Id="rId35" Type="http://schemas.openxmlformats.org/officeDocument/2006/relationships/hyperlink" Target="https://drive.google.com/open?id=1foeHB4x95-YQanixQVujer7irUuD1lD1" TargetMode="External"/><Relationship Id="rId56" Type="http://schemas.openxmlformats.org/officeDocument/2006/relationships/hyperlink" Target="https://drive.google.com/open?id=1kgw3MaCWYSzqR4TZs2kZXBIRS4E-D5lg" TargetMode="External"/><Relationship Id="rId77" Type="http://schemas.openxmlformats.org/officeDocument/2006/relationships/hyperlink" Target="https://drive.google.com/open?id=10GjZWvi2xv4E6Q44wRUeOBCRDg0tKKW2" TargetMode="External"/><Relationship Id="rId100" Type="http://schemas.openxmlformats.org/officeDocument/2006/relationships/hyperlink" Target="https://drive.google.com/open?id=1w2z7DYxSPGMaoxWs1atZa2WH8S1XdRpl" TargetMode="External"/><Relationship Id="rId105" Type="http://schemas.openxmlformats.org/officeDocument/2006/relationships/hyperlink" Target="https://drive.google.com/open?id=1ZwXlZQQVeC4q1bwLKMrBy6pgjNBNfiwr" TargetMode="External"/><Relationship Id="rId126" Type="http://schemas.openxmlformats.org/officeDocument/2006/relationships/hyperlink" Target="https://drive.google.com/open?id=1zGHoELiJraG9dfBmWFCtkVpk--9nCGuk" TargetMode="External"/><Relationship Id="rId147" Type="http://schemas.openxmlformats.org/officeDocument/2006/relationships/hyperlink" Target="https://drive.google.com/open?id=1Tq6AK4LS2bvB_XzxUhkrWCettTwJwPLc" TargetMode="External"/><Relationship Id="rId168" Type="http://schemas.openxmlformats.org/officeDocument/2006/relationships/hyperlink" Target="https://drive.google.com/open?id=1ClKjNmQ6m539u0maHszFM8hbo_OMmOtt" TargetMode="External"/><Relationship Id="rId8" Type="http://schemas.openxmlformats.org/officeDocument/2006/relationships/hyperlink" Target="https://drive.google.com/open?id=1cUhF7EfDyX_5VCCjhHTyrD6P8t-EH9RD" TargetMode="External"/><Relationship Id="rId51" Type="http://schemas.openxmlformats.org/officeDocument/2006/relationships/hyperlink" Target="https://drive.google.com/open?id=1yVRq5pvOcIiiAmUVRCwqorYFEgJt3d3F" TargetMode="External"/><Relationship Id="rId72" Type="http://schemas.openxmlformats.org/officeDocument/2006/relationships/hyperlink" Target="https://drive.google.com/open?id=1KSnKUmSrI64hqY3pMuINMAWHYpvepS0j" TargetMode="External"/><Relationship Id="rId93" Type="http://schemas.openxmlformats.org/officeDocument/2006/relationships/hyperlink" Target="https://drive.google.com/open?id=1OReJ0jdrw6iNz407SN1wOMUbrFVWGTsX" TargetMode="External"/><Relationship Id="rId98" Type="http://schemas.openxmlformats.org/officeDocument/2006/relationships/hyperlink" Target="https://drive.google.com/open?id=14x59sgPwsPhRJp_EPxilbGZ590bcfAgt" TargetMode="External"/><Relationship Id="rId121" Type="http://schemas.openxmlformats.org/officeDocument/2006/relationships/hyperlink" Target="https://drive.google.com/open?id=1zDKX1UNo3XaZKul1nJPNWoQKKilymVk7" TargetMode="External"/><Relationship Id="rId142" Type="http://schemas.openxmlformats.org/officeDocument/2006/relationships/hyperlink" Target="https://drive.google.com/open?id=1fpDGOvweqUHblrc6JuVn5jahBqQR7Rlt" TargetMode="External"/><Relationship Id="rId163" Type="http://schemas.openxmlformats.org/officeDocument/2006/relationships/hyperlink" Target="https://drive.google.com/open?id=1JDcmibyHdkBxh5reBjuVrVvwGlYZE7wK" TargetMode="External"/><Relationship Id="rId184" Type="http://schemas.openxmlformats.org/officeDocument/2006/relationships/hyperlink" Target="https://drive.google.com/open?id=1DWBq9AAzYsWqBhqeBszy4LvyQc2RyMek" TargetMode="External"/><Relationship Id="rId189" Type="http://schemas.openxmlformats.org/officeDocument/2006/relationships/hyperlink" Target="https://drive.google.com/open?id=1EiVcKbh63t8PiUDR7fX8_WG3tYvgLHas" TargetMode="External"/><Relationship Id="rId3" Type="http://schemas.openxmlformats.org/officeDocument/2006/relationships/hyperlink" Target="https://drive.google.com/open?id=1kO4jF2BdTMpWWX4UkpTMzcaYD-WzAFym" TargetMode="External"/><Relationship Id="rId25" Type="http://schemas.openxmlformats.org/officeDocument/2006/relationships/hyperlink" Target="https://drive.google.com/open?id=18My-q2tmNt7DaGKhjUC1qQqlfnTfhIh9" TargetMode="External"/><Relationship Id="rId46" Type="http://schemas.openxmlformats.org/officeDocument/2006/relationships/hyperlink" Target="https://drive.google.com/open?id=1cJNJ8l57fJ9bakrt8vKHU67YNFOWyOwE" TargetMode="External"/><Relationship Id="rId67" Type="http://schemas.openxmlformats.org/officeDocument/2006/relationships/hyperlink" Target="https://drive.google.com/open?id=1ZjKXv7FjZVjhlawyU-jdjJV75cQxBGzg" TargetMode="External"/><Relationship Id="rId116" Type="http://schemas.openxmlformats.org/officeDocument/2006/relationships/hyperlink" Target="https://drive.google.com/open?id=1CgIR81ZrvQHM10JczmAa0LYovcIJ0yol" TargetMode="External"/><Relationship Id="rId137" Type="http://schemas.openxmlformats.org/officeDocument/2006/relationships/hyperlink" Target="https://drive.google.com/open?id=1A7HLgKBxHRkSGzpvUsbpsYFtHqYqWBZb" TargetMode="External"/><Relationship Id="rId158" Type="http://schemas.openxmlformats.org/officeDocument/2006/relationships/hyperlink" Target="https://drive.google.com/open?id=1Ofz_j42XB87e-t3e3EkJoiKw4wUkM4uI" TargetMode="External"/><Relationship Id="rId20" Type="http://schemas.openxmlformats.org/officeDocument/2006/relationships/hyperlink" Target="https://drive.google.com/open?id=1NGZ9kprsypqxT4vDrLCsCTUSLz3mGjIW" TargetMode="External"/><Relationship Id="rId41" Type="http://schemas.openxmlformats.org/officeDocument/2006/relationships/hyperlink" Target="https://drive.google.com/open?id=1gMG-iSXAWW3l51mKcs8XjcWlBSNVRqzD" TargetMode="External"/><Relationship Id="rId62" Type="http://schemas.openxmlformats.org/officeDocument/2006/relationships/hyperlink" Target="https://drive.google.com/open?id=1XkwbtRULA5NLlbh2_uvQxe6YC8VAXWT-" TargetMode="External"/><Relationship Id="rId83" Type="http://schemas.openxmlformats.org/officeDocument/2006/relationships/hyperlink" Target="https://drive.google.com/open?id=1cZa6Fjjr9gJHp7kHpVGWyXxxhlN4iFVY" TargetMode="External"/><Relationship Id="rId88" Type="http://schemas.openxmlformats.org/officeDocument/2006/relationships/hyperlink" Target="https://drive.google.com/open?id=1k-s8pZrUf1Hr_SfJ06fzRjW12AiC4jhr" TargetMode="External"/><Relationship Id="rId111" Type="http://schemas.openxmlformats.org/officeDocument/2006/relationships/hyperlink" Target="https://drive.google.com/open?id=1xnpFnRl4QyNZ-lKEf8a2Yjn4sZpY4yk0" TargetMode="External"/><Relationship Id="rId132" Type="http://schemas.openxmlformats.org/officeDocument/2006/relationships/hyperlink" Target="https://drive.google.com/open?id=1b3fmGyxHYOxccPjREotbY5QSCPpaXUn7" TargetMode="External"/><Relationship Id="rId153" Type="http://schemas.openxmlformats.org/officeDocument/2006/relationships/hyperlink" Target="https://drive.google.com/open?id=1qR-Gnz_JnYkcWyalWSJ4BfNez-Msn0Fe" TargetMode="External"/><Relationship Id="rId174" Type="http://schemas.openxmlformats.org/officeDocument/2006/relationships/hyperlink" Target="https://drive.google.com/open?id=1Zxe7ShuaAKaUrZi7zIugExeminnDSyHI" TargetMode="External"/><Relationship Id="rId179" Type="http://schemas.openxmlformats.org/officeDocument/2006/relationships/hyperlink" Target="https://drive.google.com/open?id=1R5uTXt4RdI3ODoEOSz5LqfdZUljLWIEW" TargetMode="External"/><Relationship Id="rId195" Type="http://schemas.openxmlformats.org/officeDocument/2006/relationships/hyperlink" Target="https://drive.google.com/open?id=1YI_Ahdsz88fpj7voR6LCZKL0_gyov0f5" TargetMode="External"/><Relationship Id="rId190" Type="http://schemas.openxmlformats.org/officeDocument/2006/relationships/hyperlink" Target="https://drive.google.com/open?id=1xBQhlYUwCoRkmuxdNmsRIx6QTLkFoSu4" TargetMode="External"/><Relationship Id="rId204" Type="http://schemas.openxmlformats.org/officeDocument/2006/relationships/drawing" Target="../drawings/drawing1.xml"/><Relationship Id="rId15" Type="http://schemas.openxmlformats.org/officeDocument/2006/relationships/hyperlink" Target="https://drive.google.com/open?id=11uIU8uHZ49xjzFiFcl6PjCA0EEEUMaeM" TargetMode="External"/><Relationship Id="rId36" Type="http://schemas.openxmlformats.org/officeDocument/2006/relationships/hyperlink" Target="https://drive.google.com/open?id=1xkiNE1WZL_O2PJ-IAEHVCcV4GWTUJ8tQ" TargetMode="External"/><Relationship Id="rId57" Type="http://schemas.openxmlformats.org/officeDocument/2006/relationships/hyperlink" Target="https://drive.google.com/open?id=1LhIpmZ-cSKwvYmtV4GDtx6i8UoN9_nA_" TargetMode="External"/><Relationship Id="rId106" Type="http://schemas.openxmlformats.org/officeDocument/2006/relationships/hyperlink" Target="https://drive.google.com/open?id=1RT4GH98sA5ZCwo8YuIXl3E1JX2fUghwD" TargetMode="External"/><Relationship Id="rId127" Type="http://schemas.openxmlformats.org/officeDocument/2006/relationships/hyperlink" Target="https://drive.google.com/open?id=1q55CBnGf0FMxJMqRGiu5ndoTs0gAkWSR" TargetMode="External"/><Relationship Id="rId10" Type="http://schemas.openxmlformats.org/officeDocument/2006/relationships/hyperlink" Target="https://drive.google.com/open?id=1ZZc47so5GEmbs3pX2B-UaMA7KVe2D_sI" TargetMode="External"/><Relationship Id="rId31" Type="http://schemas.openxmlformats.org/officeDocument/2006/relationships/hyperlink" Target="https://drive.google.com/open?id=1FZEBmwA36d3rJ7D2Nv9ktN5Evalc7meO" TargetMode="External"/><Relationship Id="rId52" Type="http://schemas.openxmlformats.org/officeDocument/2006/relationships/hyperlink" Target="https://drive.google.com/open?id=1KnbubvOcU7mcrhjiuPcdPkZ04C8oAWpY" TargetMode="External"/><Relationship Id="rId73" Type="http://schemas.openxmlformats.org/officeDocument/2006/relationships/hyperlink" Target="https://drive.google.com/open?id=104Ym4AiyDfD81IjLkkDMdD2hpaXMmZZ0" TargetMode="External"/><Relationship Id="rId78" Type="http://schemas.openxmlformats.org/officeDocument/2006/relationships/hyperlink" Target="https://drive.google.com/open?id=1Zbw_cV_5UmcdktlKz40TvCsCELXOZaz4" TargetMode="External"/><Relationship Id="rId94" Type="http://schemas.openxmlformats.org/officeDocument/2006/relationships/hyperlink" Target="https://drive.google.com/open?id=1FOnnDzbHNyUhd3vzB52SVueNsLIJV5my" TargetMode="External"/><Relationship Id="rId99" Type="http://schemas.openxmlformats.org/officeDocument/2006/relationships/hyperlink" Target="https://drive.google.com/open?id=1sNUGekdpN5c9pgIB1dFYhuzvrqc4Tep3" TargetMode="External"/><Relationship Id="rId101" Type="http://schemas.openxmlformats.org/officeDocument/2006/relationships/hyperlink" Target="https://drive.google.com/open?id=10-Ze2F7J1ziFcc_cvASU1D5kqykMrUIq" TargetMode="External"/><Relationship Id="rId122" Type="http://schemas.openxmlformats.org/officeDocument/2006/relationships/hyperlink" Target="https://drive.google.com/open?id=1GMGFvo-n_ZuKcKYqkWJ7LAsOtW0Tq7Sx" TargetMode="External"/><Relationship Id="rId143" Type="http://schemas.openxmlformats.org/officeDocument/2006/relationships/hyperlink" Target="https://drive.google.com/open?id=10chZlIzjuRLVP2G12miNYZuTpzL0TPKY" TargetMode="External"/><Relationship Id="rId148" Type="http://schemas.openxmlformats.org/officeDocument/2006/relationships/hyperlink" Target="https://drive.google.com/open?id=19kkJXIwaD9gJJYHXFtNB-dNYRECX6RY8" TargetMode="External"/><Relationship Id="rId164" Type="http://schemas.openxmlformats.org/officeDocument/2006/relationships/hyperlink" Target="https://drive.google.com/open?id=1SDbgMv7HVMjthktTYo9dXCy8p4piZynq" TargetMode="External"/><Relationship Id="rId169" Type="http://schemas.openxmlformats.org/officeDocument/2006/relationships/hyperlink" Target="https://drive.google.com/open?id=1ESmG3x0OgprI1Z5JRStG4G1QMDLrt51l" TargetMode="External"/><Relationship Id="rId185" Type="http://schemas.openxmlformats.org/officeDocument/2006/relationships/hyperlink" Target="https://drive.google.com/open?id=1onOQoN2rVNbMUkKsBgq1-7QwQsIaIDR7" TargetMode="External"/><Relationship Id="rId4" Type="http://schemas.openxmlformats.org/officeDocument/2006/relationships/hyperlink" Target="https://drive.google.com/open?id=1RynK_Y1FOq8o7ViT-rWxy7h7GsZZXMVI" TargetMode="External"/><Relationship Id="rId9" Type="http://schemas.openxmlformats.org/officeDocument/2006/relationships/hyperlink" Target="https://drive.google.com/open?id=1xILi32x4XaNho9o0n2ZMOlxm3ZETyS_l" TargetMode="External"/><Relationship Id="rId180" Type="http://schemas.openxmlformats.org/officeDocument/2006/relationships/hyperlink" Target="https://drive.google.com/open?id=1bXWUxuPT4B6d5rWOOAyxcYzVt8YAJ_3o" TargetMode="External"/><Relationship Id="rId26" Type="http://schemas.openxmlformats.org/officeDocument/2006/relationships/hyperlink" Target="https://drive.google.com/open?id=1loh64qz8NpwoqZypdIMjpF2B6-VQfkBl" TargetMode="External"/><Relationship Id="rId47" Type="http://schemas.openxmlformats.org/officeDocument/2006/relationships/hyperlink" Target="https://drive.google.com/open?id=1tbF5oSQCj0aJHYIJXq5EghZv81zBpSMv" TargetMode="External"/><Relationship Id="rId68" Type="http://schemas.openxmlformats.org/officeDocument/2006/relationships/hyperlink" Target="https://drive.google.com/open?id=1uCcxz9ifWsgfXIY41iD7tCwcVWqLVTVm" TargetMode="External"/><Relationship Id="rId89" Type="http://schemas.openxmlformats.org/officeDocument/2006/relationships/hyperlink" Target="https://drive.google.com/open?id=1Ntcz788AoLcMJyHiOI7WB2Ni-JO_NUkD" TargetMode="External"/><Relationship Id="rId112" Type="http://schemas.openxmlformats.org/officeDocument/2006/relationships/hyperlink" Target="https://drive.google.com/open?id=1ZKyDr0yT4xrRqOUU7lBWsqxOfRm4SYdc" TargetMode="External"/><Relationship Id="rId133" Type="http://schemas.openxmlformats.org/officeDocument/2006/relationships/hyperlink" Target="https://drive.google.com/open?id=1TVGZEiz1t1yL9JkDxI7vYhVj4J270of6" TargetMode="External"/><Relationship Id="rId154" Type="http://schemas.openxmlformats.org/officeDocument/2006/relationships/hyperlink" Target="https://drive.google.com/open?id=1uJHbUfSAz861zl72uNcONoPuArlJdWne" TargetMode="External"/><Relationship Id="rId175" Type="http://schemas.openxmlformats.org/officeDocument/2006/relationships/hyperlink" Target="https://drive.google.com/open?id=1FQdtpbB3gttheJZw8b6jQRQ0k1iBvRBr" TargetMode="External"/><Relationship Id="rId196" Type="http://schemas.openxmlformats.org/officeDocument/2006/relationships/hyperlink" Target="https://drive.google.com/open?id=1EzRVlHRNgcrmGzi_DlUxDGkDCNORnemM" TargetMode="External"/><Relationship Id="rId200" Type="http://schemas.openxmlformats.org/officeDocument/2006/relationships/hyperlink" Target="https://drive.google.com/open?id=12cceIdIjIBGZqm6ZtGIuTdgS6IX-h_GB" TargetMode="External"/><Relationship Id="rId16" Type="http://schemas.openxmlformats.org/officeDocument/2006/relationships/hyperlink" Target="https://drive.google.com/open?id=1mVa6C62tNNWKb1RfYsL1Lh4xpMy_Aw66" TargetMode="External"/><Relationship Id="rId37" Type="http://schemas.openxmlformats.org/officeDocument/2006/relationships/hyperlink" Target="https://drive.google.com/open?id=190yqE-Y5ZNEScNVpn226i6A4U5gTKPTI" TargetMode="External"/><Relationship Id="rId58" Type="http://schemas.openxmlformats.org/officeDocument/2006/relationships/hyperlink" Target="https://drive.google.com/open?id=13BArmgl5z_XtEbVUY5BHaPQBwJo8XiJn" TargetMode="External"/><Relationship Id="rId79" Type="http://schemas.openxmlformats.org/officeDocument/2006/relationships/hyperlink" Target="https://drive.google.com/open?id=1jq6XrIAO9FOiyugVOlQTFzxPxJy96V91" TargetMode="External"/><Relationship Id="rId102" Type="http://schemas.openxmlformats.org/officeDocument/2006/relationships/hyperlink" Target="https://drive.google.com/open?id=19j6GqoLMrk_D8MpTgQ3MWL1724jB1XCg" TargetMode="External"/><Relationship Id="rId123" Type="http://schemas.openxmlformats.org/officeDocument/2006/relationships/hyperlink" Target="https://drive.google.com/open?id=1mZpjUgOUpdudKmJnAQ5xw9AEnqHMQ2Dn" TargetMode="External"/><Relationship Id="rId144" Type="http://schemas.openxmlformats.org/officeDocument/2006/relationships/hyperlink" Target="https://drive.google.com/open?id=16__StA0YkJOx1ha0w9VymdpLG7w9rjZp" TargetMode="External"/><Relationship Id="rId90" Type="http://schemas.openxmlformats.org/officeDocument/2006/relationships/hyperlink" Target="https://drive.google.com/open?id=1-cubpOwzpnJqDBH26kO7bojQzXjSrqzR" TargetMode="External"/><Relationship Id="rId165" Type="http://schemas.openxmlformats.org/officeDocument/2006/relationships/hyperlink" Target="https://drive.google.com/open?id=1ovub-aCDYB5QeL4toZfvbCmfkiJ7FoXt" TargetMode="External"/><Relationship Id="rId186" Type="http://schemas.openxmlformats.org/officeDocument/2006/relationships/hyperlink" Target="https://drive.google.com/open?id=1KYwPM1K8A_-CAOjL-0_2eT1zoXVawQgs" TargetMode="External"/><Relationship Id="rId27" Type="http://schemas.openxmlformats.org/officeDocument/2006/relationships/hyperlink" Target="https://drive.google.com/open?id=1Xz168PuK2_a02ACWRvj2TCsEJEGq1wC0" TargetMode="External"/><Relationship Id="rId48" Type="http://schemas.openxmlformats.org/officeDocument/2006/relationships/hyperlink" Target="https://drive.google.com/open?id=1dIvA5dvz4W8NHRE8U1LKfKJ6xNXhYjkI" TargetMode="External"/><Relationship Id="rId69" Type="http://schemas.openxmlformats.org/officeDocument/2006/relationships/hyperlink" Target="https://drive.google.com/open?id=1-NO1LuvJlDPIJ4HnlL-A2IDVCbr5kMlr" TargetMode="External"/><Relationship Id="rId113" Type="http://schemas.openxmlformats.org/officeDocument/2006/relationships/hyperlink" Target="https://drive.google.com/open?id=11iSaGUiRbuZAOPwzxHIKhF0aUhspe3fj" TargetMode="External"/><Relationship Id="rId134" Type="http://schemas.openxmlformats.org/officeDocument/2006/relationships/hyperlink" Target="https://drive.google.com/open?id=1l4yPVRUwq_7g5Go3Em8F0Zgq3qfgeZZX" TargetMode="External"/><Relationship Id="rId80" Type="http://schemas.openxmlformats.org/officeDocument/2006/relationships/hyperlink" Target="https://drive.google.com/open?id=1aAfHY6bqAgN33ec1Ll1C1MJTA95x6IvS" TargetMode="External"/><Relationship Id="rId155" Type="http://schemas.openxmlformats.org/officeDocument/2006/relationships/hyperlink" Target="https://drive.google.com/open?id=18fNpdh5JupxSYgyPlYjMax9O5DRtbMtC" TargetMode="External"/><Relationship Id="rId176" Type="http://schemas.openxmlformats.org/officeDocument/2006/relationships/hyperlink" Target="https://drive.google.com/open?id=1DboLlxx5G-7O1LGtbdczdxqbNDWax6tQ" TargetMode="External"/><Relationship Id="rId197" Type="http://schemas.openxmlformats.org/officeDocument/2006/relationships/hyperlink" Target="https://drive.google.com/open?id=1F1wEotaKhhY3221jpmV39TJxM-zDhy3n" TargetMode="External"/><Relationship Id="rId201" Type="http://schemas.openxmlformats.org/officeDocument/2006/relationships/hyperlink" Target="https://drive.google.com/open?id=1--te1UhexP9coeauASfpaafn232HR4it" TargetMode="External"/><Relationship Id="rId17" Type="http://schemas.openxmlformats.org/officeDocument/2006/relationships/hyperlink" Target="https://drive.google.com/open?id=1vGSCzUhtH0RgsSo1BdGv0-HWhq-9FVMf" TargetMode="External"/><Relationship Id="rId38" Type="http://schemas.openxmlformats.org/officeDocument/2006/relationships/hyperlink" Target="https://drive.google.com/open?id=1IoJP30oR_ESajDgI2MrzbHzuJVc8sWil" TargetMode="External"/><Relationship Id="rId59" Type="http://schemas.openxmlformats.org/officeDocument/2006/relationships/hyperlink" Target="https://drive.google.com/open?id=1oKMQ0l-crQUr87id3F10bc6p3LYc-Xkn" TargetMode="External"/><Relationship Id="rId103" Type="http://schemas.openxmlformats.org/officeDocument/2006/relationships/hyperlink" Target="https://drive.google.com/open?id=1hEF8cgJrO6YhVSy8AjJD-bORFlTYWJZj" TargetMode="External"/><Relationship Id="rId124" Type="http://schemas.openxmlformats.org/officeDocument/2006/relationships/hyperlink" Target="https://drive.google.com/open?id=16G-qQ83251CtyOh-omLU0nO54TkFTD_d" TargetMode="External"/><Relationship Id="rId70" Type="http://schemas.openxmlformats.org/officeDocument/2006/relationships/hyperlink" Target="https://drive.google.com/open?id=1DiiUfQcZ_f0b3dsXTVj8EiNtSiIage8f" TargetMode="External"/><Relationship Id="rId91" Type="http://schemas.openxmlformats.org/officeDocument/2006/relationships/hyperlink" Target="https://drive.google.com/open?id=1bpwn6q4eYJQ0Yk0A9_r4pfLojmd2TijL" TargetMode="External"/><Relationship Id="rId145" Type="http://schemas.openxmlformats.org/officeDocument/2006/relationships/hyperlink" Target="https://drive.google.com/open?id=1U9ZEYAP9-3MjG5WNcPK1gjTooXTX5DFY" TargetMode="External"/><Relationship Id="rId166" Type="http://schemas.openxmlformats.org/officeDocument/2006/relationships/hyperlink" Target="https://drive.google.com/open?id=1YA-6Hb-PWcVFuA9t9Qm0KRYT2vt0i8JY" TargetMode="External"/><Relationship Id="rId187" Type="http://schemas.openxmlformats.org/officeDocument/2006/relationships/hyperlink" Target="https://drive.google.com/open?id=1tukKGaNA520QztmVsYROZVw7wobzv3sf" TargetMode="External"/><Relationship Id="rId1" Type="http://schemas.openxmlformats.org/officeDocument/2006/relationships/hyperlink" Target="https://drive.google.com/open?id=1vUl2uAr_713qNmEMo2WhTnxkRS4R_0vK" TargetMode="External"/><Relationship Id="rId28" Type="http://schemas.openxmlformats.org/officeDocument/2006/relationships/hyperlink" Target="https://drive.google.com/open?id=10K7mapgqpLGMZkqVYk2D7tCr5TdwhHi-" TargetMode="External"/><Relationship Id="rId49" Type="http://schemas.openxmlformats.org/officeDocument/2006/relationships/hyperlink" Target="https://drive.google.com/open?id=1nPKwos-Qmlk48bL5Huz9CemomtWfMEa2" TargetMode="External"/><Relationship Id="rId114" Type="http://schemas.openxmlformats.org/officeDocument/2006/relationships/hyperlink" Target="https://drive.google.com/open?id=1KCMftIMMjxccIFefHDF1Wr28loAnDeTV" TargetMode="External"/><Relationship Id="rId60" Type="http://schemas.openxmlformats.org/officeDocument/2006/relationships/hyperlink" Target="https://drive.google.com/open?id=14UIoUmj_uSe5dsgNoM0uZasuA4b-XW05" TargetMode="External"/><Relationship Id="rId81" Type="http://schemas.openxmlformats.org/officeDocument/2006/relationships/hyperlink" Target="https://drive.google.com/open?id=1QUgm9VgBWRVu2krvDuS-7vkBR8uSisv1" TargetMode="External"/><Relationship Id="rId135" Type="http://schemas.openxmlformats.org/officeDocument/2006/relationships/hyperlink" Target="https://drive.google.com/open?id=1bpd4lar-07HBob2miZYd_sxM1Jx1Lz2t" TargetMode="External"/><Relationship Id="rId156" Type="http://schemas.openxmlformats.org/officeDocument/2006/relationships/hyperlink" Target="https://drive.google.com/open?id=1ZNGEfl-g3dots2MTrGrluhQSdcA9Bcyq" TargetMode="External"/><Relationship Id="rId177" Type="http://schemas.openxmlformats.org/officeDocument/2006/relationships/hyperlink" Target="https://drive.google.com/open?id=19t3IinesTZyZ6U2kiuVOXrx__JR7U7LG" TargetMode="External"/><Relationship Id="rId198" Type="http://schemas.openxmlformats.org/officeDocument/2006/relationships/hyperlink" Target="https://drive.google.com/open?id=1ys6MC_PD3O2F2iliaPN8QREORM71noXv" TargetMode="External"/><Relationship Id="rId202" Type="http://schemas.openxmlformats.org/officeDocument/2006/relationships/hyperlink" Target="https://drive.google.com/open?id=1pp1SpHE9ORMpnIJHDebz9xQqZN91NzX4" TargetMode="External"/><Relationship Id="rId18" Type="http://schemas.openxmlformats.org/officeDocument/2006/relationships/hyperlink" Target="https://drive.google.com/open?id=128EtSlYuDP49lZkpFVhD7mX3Y0B5ys2i" TargetMode="External"/><Relationship Id="rId39" Type="http://schemas.openxmlformats.org/officeDocument/2006/relationships/hyperlink" Target="https://drive.google.com/open?id=1gMy_jgiGSI7UFhGD7WM09fQjijarJ_iz" TargetMode="External"/><Relationship Id="rId50" Type="http://schemas.openxmlformats.org/officeDocument/2006/relationships/hyperlink" Target="https://drive.google.com/open?id=1ElBUun_Hjfkf1ZBIKSFKUvOWOUO5PImf" TargetMode="External"/><Relationship Id="rId104" Type="http://schemas.openxmlformats.org/officeDocument/2006/relationships/hyperlink" Target="https://drive.google.com/open?id=14t0s-6EulWw59kIseijLNblYV7AQcVq-" TargetMode="External"/><Relationship Id="rId125" Type="http://schemas.openxmlformats.org/officeDocument/2006/relationships/hyperlink" Target="https://drive.google.com/open?id=17nUm-DBv35jTH44GdjLMISPCGrtLouEB" TargetMode="External"/><Relationship Id="rId146" Type="http://schemas.openxmlformats.org/officeDocument/2006/relationships/hyperlink" Target="https://drive.google.com/open?id=1GtPDymkGHtCepKyWrbz8xrK_ovnIVGcf" TargetMode="External"/><Relationship Id="rId167" Type="http://schemas.openxmlformats.org/officeDocument/2006/relationships/hyperlink" Target="https://drive.google.com/open?id=1WVdB45ubi_KRn2E1TvCO9LoXzWhNL0lE" TargetMode="External"/><Relationship Id="rId188" Type="http://schemas.openxmlformats.org/officeDocument/2006/relationships/hyperlink" Target="https://drive.google.com/open?id=1bJMCzfvVeN1mYbJGJyV-QFAHTB9RhRmK" TargetMode="External"/><Relationship Id="rId71" Type="http://schemas.openxmlformats.org/officeDocument/2006/relationships/hyperlink" Target="https://drive.google.com/open?id=1xz63e6VfUofZZhhzTYaZwtbxHR5FMunj" TargetMode="External"/><Relationship Id="rId92" Type="http://schemas.openxmlformats.org/officeDocument/2006/relationships/hyperlink" Target="https://drive.google.com/open?id=1o3iFTqSQMT1KUshed-IqpXbe-oh4NTp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26"/>
  <sheetViews>
    <sheetView tabSelected="1" zoomScaleNormal="100" workbookViewId="0">
      <pane ySplit="6" topLeftCell="A94" activePane="bottomLeft" state="frozen"/>
      <selection pane="bottomLeft" activeCell="J223" sqref="J223"/>
    </sheetView>
  </sheetViews>
  <sheetFormatPr defaultColWidth="14.42578125" defaultRowHeight="12.75" x14ac:dyDescent="0.2"/>
  <cols>
    <col min="1" max="1" width="4.42578125" bestFit="1" customWidth="1"/>
    <col min="2" max="2" width="14.5703125" customWidth="1"/>
    <col min="3" max="3" width="14.140625" customWidth="1"/>
    <col min="4" max="4" width="25.85546875" customWidth="1"/>
    <col min="5" max="5" width="23" customWidth="1"/>
    <col min="6" max="6" width="21.42578125" customWidth="1"/>
    <col min="7" max="7" width="16.28515625" style="47" customWidth="1"/>
    <col min="8" max="8" width="13.85546875" customWidth="1"/>
    <col min="9" max="9" width="21.28515625" customWidth="1"/>
    <col min="10" max="10" width="19.28515625" customWidth="1"/>
    <col min="11" max="11" width="18.28515625" customWidth="1"/>
    <col min="12" max="12" width="15.85546875" style="47" customWidth="1"/>
    <col min="13" max="13" width="25" customWidth="1"/>
    <col min="14" max="14" width="21.140625" style="58" customWidth="1"/>
    <col min="15" max="15" width="12.28515625" style="58" customWidth="1"/>
    <col min="16" max="16384" width="14.42578125" style="34"/>
  </cols>
  <sheetData>
    <row r="1" spans="1:17" ht="16.5" customHeight="1" x14ac:dyDescent="0.2">
      <c r="A1" s="213" t="s">
        <v>0</v>
      </c>
      <c r="B1" s="214"/>
      <c r="C1" s="214"/>
      <c r="D1" s="214"/>
      <c r="E1" s="214"/>
      <c r="F1" s="214"/>
      <c r="G1" s="214"/>
      <c r="H1" s="214"/>
      <c r="I1" s="214"/>
      <c r="J1" s="214"/>
      <c r="K1" s="214"/>
      <c r="L1" s="214"/>
      <c r="M1" s="214"/>
      <c r="N1" s="218"/>
      <c r="O1" s="219"/>
    </row>
    <row r="2" spans="1:17" ht="18" customHeight="1" x14ac:dyDescent="0.2">
      <c r="A2" s="214"/>
      <c r="B2" s="214"/>
      <c r="C2" s="214"/>
      <c r="D2" s="214"/>
      <c r="E2" s="214"/>
      <c r="F2" s="214"/>
      <c r="G2" s="214"/>
      <c r="H2" s="214"/>
      <c r="I2" s="214"/>
      <c r="J2" s="214"/>
      <c r="K2" s="214"/>
      <c r="L2" s="214"/>
      <c r="M2" s="214"/>
      <c r="N2" s="220"/>
      <c r="O2" s="221"/>
    </row>
    <row r="3" spans="1:17" ht="26.25" customHeight="1" x14ac:dyDescent="0.2">
      <c r="A3" s="210" t="s">
        <v>1</v>
      </c>
      <c r="B3" s="211"/>
      <c r="C3" s="211"/>
      <c r="D3" s="211"/>
      <c r="E3" s="211"/>
      <c r="F3" s="211"/>
      <c r="G3" s="211"/>
      <c r="H3" s="211"/>
      <c r="I3" s="211"/>
      <c r="J3" s="211"/>
      <c r="K3" s="211"/>
      <c r="L3" s="211"/>
      <c r="M3" s="212"/>
      <c r="N3" s="220"/>
      <c r="O3" s="221"/>
    </row>
    <row r="4" spans="1:17" ht="24.75" customHeight="1" x14ac:dyDescent="0.2">
      <c r="A4" s="204" t="s">
        <v>2</v>
      </c>
      <c r="B4" s="205"/>
      <c r="C4" s="205"/>
      <c r="D4" s="205"/>
      <c r="E4" s="205"/>
      <c r="F4" s="205"/>
      <c r="G4" s="205"/>
      <c r="H4" s="205"/>
      <c r="I4" s="205"/>
      <c r="J4" s="205"/>
      <c r="K4" s="205"/>
      <c r="L4" s="205"/>
      <c r="M4" s="206"/>
      <c r="N4" s="220"/>
      <c r="O4" s="221"/>
    </row>
    <row r="5" spans="1:17" ht="21.75" customHeight="1" x14ac:dyDescent="0.2">
      <c r="A5" s="207" t="s">
        <v>0</v>
      </c>
      <c r="B5" s="208"/>
      <c r="C5" s="208"/>
      <c r="D5" s="208"/>
      <c r="E5" s="208"/>
      <c r="F5" s="208"/>
      <c r="G5" s="208"/>
      <c r="H5" s="208"/>
      <c r="I5" s="208"/>
      <c r="J5" s="208"/>
      <c r="K5" s="208"/>
      <c r="L5" s="208"/>
      <c r="M5" s="209"/>
      <c r="N5" s="222"/>
      <c r="O5" s="223"/>
    </row>
    <row r="6" spans="1:17" ht="71.25" customHeight="1" x14ac:dyDescent="0.2">
      <c r="A6" s="76" t="s">
        <v>3</v>
      </c>
      <c r="B6" s="59" t="s">
        <v>4</v>
      </c>
      <c r="C6" s="59" t="s">
        <v>5</v>
      </c>
      <c r="D6" s="59" t="s">
        <v>6</v>
      </c>
      <c r="E6" s="59" t="s">
        <v>7</v>
      </c>
      <c r="F6" s="59" t="s">
        <v>8</v>
      </c>
      <c r="G6" s="59" t="s">
        <v>9</v>
      </c>
      <c r="H6" s="77" t="s">
        <v>885</v>
      </c>
      <c r="I6" s="98" t="s">
        <v>634</v>
      </c>
      <c r="J6" s="77" t="s">
        <v>496</v>
      </c>
      <c r="K6" s="77" t="s">
        <v>10</v>
      </c>
      <c r="L6" s="59" t="s">
        <v>11</v>
      </c>
      <c r="M6" s="59" t="s">
        <v>12</v>
      </c>
      <c r="N6" s="60" t="s">
        <v>13</v>
      </c>
      <c r="O6" s="61" t="s">
        <v>14</v>
      </c>
    </row>
    <row r="7" spans="1:17" ht="25.5" x14ac:dyDescent="0.2">
      <c r="A7" s="183">
        <v>1</v>
      </c>
      <c r="B7" s="238">
        <v>43356</v>
      </c>
      <c r="C7" s="182">
        <v>43465</v>
      </c>
      <c r="D7" s="84" t="s">
        <v>886</v>
      </c>
      <c r="E7" s="84" t="s">
        <v>887</v>
      </c>
      <c r="F7" s="84" t="s">
        <v>888</v>
      </c>
      <c r="G7" s="87" t="s">
        <v>39</v>
      </c>
      <c r="H7" s="165">
        <v>6594.04</v>
      </c>
      <c r="I7" s="166">
        <v>33286.68</v>
      </c>
      <c r="J7" s="166">
        <v>43180.19</v>
      </c>
      <c r="K7" s="81">
        <v>76466.87</v>
      </c>
      <c r="L7" s="84" t="s">
        <v>695</v>
      </c>
      <c r="M7" s="84" t="s">
        <v>55</v>
      </c>
      <c r="N7" s="89" t="s">
        <v>889</v>
      </c>
      <c r="O7" s="89" t="s">
        <v>14</v>
      </c>
      <c r="P7" s="87"/>
      <c r="Q7" s="87"/>
    </row>
    <row r="8" spans="1:17" ht="25.5" x14ac:dyDescent="0.2">
      <c r="A8" s="183">
        <v>2</v>
      </c>
      <c r="B8" s="238">
        <v>43353</v>
      </c>
      <c r="C8" s="182">
        <v>43465</v>
      </c>
      <c r="D8" s="84" t="s">
        <v>890</v>
      </c>
      <c r="E8" s="84" t="s">
        <v>890</v>
      </c>
      <c r="F8" s="84" t="s">
        <v>818</v>
      </c>
      <c r="G8" s="237" t="s">
        <v>891</v>
      </c>
      <c r="H8" s="165">
        <v>1020</v>
      </c>
      <c r="I8" s="166">
        <v>0</v>
      </c>
      <c r="J8" s="166">
        <v>6630</v>
      </c>
      <c r="K8" s="81">
        <v>6630</v>
      </c>
      <c r="L8" s="84" t="s">
        <v>20</v>
      </c>
      <c r="M8" s="84" t="s">
        <v>892</v>
      </c>
      <c r="N8" s="89" t="s">
        <v>893</v>
      </c>
      <c r="O8" s="89" t="s">
        <v>14</v>
      </c>
      <c r="P8" s="87"/>
      <c r="Q8" s="87"/>
    </row>
    <row r="9" spans="1:17" ht="25.5" x14ac:dyDescent="0.2">
      <c r="A9" s="183">
        <v>3</v>
      </c>
      <c r="B9" s="238">
        <v>43406</v>
      </c>
      <c r="C9" s="182">
        <v>43462</v>
      </c>
      <c r="D9" s="84" t="s">
        <v>894</v>
      </c>
      <c r="E9" s="84" t="s">
        <v>894</v>
      </c>
      <c r="F9" s="84" t="s">
        <v>895</v>
      </c>
      <c r="G9" s="237" t="s">
        <v>896</v>
      </c>
      <c r="H9" s="165">
        <v>99</v>
      </c>
      <c r="I9" s="166" t="s">
        <v>127</v>
      </c>
      <c r="J9" s="166" t="s">
        <v>127</v>
      </c>
      <c r="K9" s="81" t="s">
        <v>127</v>
      </c>
      <c r="L9" s="84" t="s">
        <v>20</v>
      </c>
      <c r="M9" s="84" t="s">
        <v>897</v>
      </c>
      <c r="N9" s="89" t="s">
        <v>898</v>
      </c>
      <c r="O9" s="89" t="s">
        <v>14</v>
      </c>
      <c r="P9" s="87"/>
      <c r="Q9" s="87"/>
    </row>
    <row r="10" spans="1:17" ht="26.25" thickBot="1" x14ac:dyDescent="0.25">
      <c r="A10" s="183">
        <v>4</v>
      </c>
      <c r="B10" s="179" t="s">
        <v>852</v>
      </c>
      <c r="C10" s="163" t="s">
        <v>853</v>
      </c>
      <c r="D10" s="164" t="s">
        <v>854</v>
      </c>
      <c r="E10" s="164" t="s">
        <v>854</v>
      </c>
      <c r="F10" s="164" t="s">
        <v>855</v>
      </c>
      <c r="G10" s="163" t="s">
        <v>849</v>
      </c>
      <c r="H10" s="165">
        <v>239.65</v>
      </c>
      <c r="I10" s="166">
        <v>669.77</v>
      </c>
      <c r="J10" s="166">
        <v>1557.73</v>
      </c>
      <c r="K10" s="81">
        <v>2227.5</v>
      </c>
      <c r="L10" s="164" t="s">
        <v>40</v>
      </c>
      <c r="M10" s="164" t="s">
        <v>41</v>
      </c>
      <c r="N10" s="167" t="s">
        <v>856</v>
      </c>
      <c r="O10" s="167" t="s">
        <v>14</v>
      </c>
      <c r="P10" s="235"/>
      <c r="Q10" s="236"/>
    </row>
    <row r="11" spans="1:17" ht="26.25" thickBot="1" x14ac:dyDescent="0.25">
      <c r="A11" s="183">
        <v>5</v>
      </c>
      <c r="B11" s="107" t="s">
        <v>857</v>
      </c>
      <c r="C11" s="106" t="s">
        <v>858</v>
      </c>
      <c r="D11" s="84" t="s">
        <v>859</v>
      </c>
      <c r="E11" s="84" t="s">
        <v>859</v>
      </c>
      <c r="F11" s="84" t="s">
        <v>860</v>
      </c>
      <c r="G11" s="87" t="s">
        <v>861</v>
      </c>
      <c r="H11" s="165">
        <v>122.31</v>
      </c>
      <c r="I11" s="85" t="s">
        <v>127</v>
      </c>
      <c r="J11" s="85" t="s">
        <v>127</v>
      </c>
      <c r="K11" s="81" t="s">
        <v>127</v>
      </c>
      <c r="L11" s="84" t="s">
        <v>20</v>
      </c>
      <c r="M11" s="84" t="s">
        <v>862</v>
      </c>
      <c r="N11" s="89" t="s">
        <v>863</v>
      </c>
      <c r="O11" s="89" t="s">
        <v>14</v>
      </c>
      <c r="P11" s="64"/>
      <c r="Q11" s="75"/>
    </row>
    <row r="12" spans="1:17" ht="26.25" thickBot="1" x14ac:dyDescent="0.25">
      <c r="A12" s="183">
        <v>6</v>
      </c>
      <c r="B12" s="107" t="s">
        <v>504</v>
      </c>
      <c r="C12" s="106" t="s">
        <v>858</v>
      </c>
      <c r="D12" s="84" t="s">
        <v>864</v>
      </c>
      <c r="E12" s="84" t="s">
        <v>865</v>
      </c>
      <c r="F12" s="84" t="s">
        <v>332</v>
      </c>
      <c r="G12" s="87" t="s">
        <v>39</v>
      </c>
      <c r="H12" s="165">
        <v>192.3</v>
      </c>
      <c r="I12" s="85">
        <v>1249.95</v>
      </c>
      <c r="J12" s="85">
        <v>690.73</v>
      </c>
      <c r="K12" s="81">
        <v>1940.68</v>
      </c>
      <c r="L12" s="84" t="s">
        <v>33</v>
      </c>
      <c r="M12" s="84" t="s">
        <v>41</v>
      </c>
      <c r="N12" s="89" t="s">
        <v>866</v>
      </c>
      <c r="O12" s="89" t="s">
        <v>14</v>
      </c>
      <c r="P12" s="64"/>
      <c r="Q12" s="75"/>
    </row>
    <row r="13" spans="1:17" ht="77.25" thickBot="1" x14ac:dyDescent="0.25">
      <c r="A13" s="183">
        <v>7</v>
      </c>
      <c r="B13" s="107" t="s">
        <v>683</v>
      </c>
      <c r="C13" s="106" t="s">
        <v>867</v>
      </c>
      <c r="D13" s="84" t="s">
        <v>868</v>
      </c>
      <c r="E13" s="84" t="s">
        <v>869</v>
      </c>
      <c r="F13" s="84" t="s">
        <v>870</v>
      </c>
      <c r="G13" s="87" t="s">
        <v>25</v>
      </c>
      <c r="H13" s="165">
        <v>4448.32</v>
      </c>
      <c r="I13" s="85">
        <v>25194.16</v>
      </c>
      <c r="J13" s="85">
        <v>29283.83</v>
      </c>
      <c r="K13" s="81">
        <v>54477.99</v>
      </c>
      <c r="L13" s="84" t="s">
        <v>90</v>
      </c>
      <c r="M13" s="84" t="s">
        <v>55</v>
      </c>
      <c r="N13" s="89" t="s">
        <v>871</v>
      </c>
      <c r="O13" s="89" t="s">
        <v>14</v>
      </c>
      <c r="P13" s="64"/>
      <c r="Q13" s="75"/>
    </row>
    <row r="14" spans="1:17" ht="26.25" thickBot="1" x14ac:dyDescent="0.25">
      <c r="A14" s="183">
        <v>8</v>
      </c>
      <c r="B14" s="107" t="s">
        <v>651</v>
      </c>
      <c r="C14" s="106" t="s">
        <v>872</v>
      </c>
      <c r="D14" s="84" t="s">
        <v>873</v>
      </c>
      <c r="E14" s="84" t="s">
        <v>873</v>
      </c>
      <c r="F14" s="84" t="s">
        <v>809</v>
      </c>
      <c r="G14" s="84" t="s">
        <v>186</v>
      </c>
      <c r="H14" s="165">
        <v>232.7</v>
      </c>
      <c r="I14" s="85" t="s">
        <v>127</v>
      </c>
      <c r="J14" s="85" t="s">
        <v>127</v>
      </c>
      <c r="K14" s="81" t="s">
        <v>127</v>
      </c>
      <c r="L14" s="84" t="s">
        <v>33</v>
      </c>
      <c r="M14" s="84" t="s">
        <v>41</v>
      </c>
      <c r="N14" s="89" t="s">
        <v>874</v>
      </c>
      <c r="O14" s="89" t="s">
        <v>14</v>
      </c>
      <c r="P14" s="64"/>
      <c r="Q14" s="75"/>
    </row>
    <row r="15" spans="1:17" ht="26.25" thickBot="1" x14ac:dyDescent="0.25">
      <c r="A15" s="183">
        <v>9</v>
      </c>
      <c r="B15" s="107" t="s">
        <v>788</v>
      </c>
      <c r="C15" s="106" t="s">
        <v>875</v>
      </c>
      <c r="D15" s="84" t="s">
        <v>876</v>
      </c>
      <c r="E15" s="84" t="s">
        <v>877</v>
      </c>
      <c r="F15" s="84" t="s">
        <v>877</v>
      </c>
      <c r="G15" s="87" t="s">
        <v>25</v>
      </c>
      <c r="H15" s="165">
        <v>6341.64</v>
      </c>
      <c r="I15" s="85">
        <v>35254.01</v>
      </c>
      <c r="J15" s="85">
        <v>41340.550000000003</v>
      </c>
      <c r="K15" s="81">
        <v>76594.559999999998</v>
      </c>
      <c r="L15" s="84" t="s">
        <v>878</v>
      </c>
      <c r="M15" s="84" t="s">
        <v>55</v>
      </c>
      <c r="N15" s="89" t="s">
        <v>879</v>
      </c>
      <c r="O15" s="89" t="s">
        <v>14</v>
      </c>
      <c r="P15" s="64"/>
      <c r="Q15" s="75"/>
    </row>
    <row r="16" spans="1:17" ht="26.25" thickBot="1" x14ac:dyDescent="0.25">
      <c r="A16" s="183">
        <v>10</v>
      </c>
      <c r="B16" s="107" t="s">
        <v>880</v>
      </c>
      <c r="C16" s="182">
        <v>43437</v>
      </c>
      <c r="D16" s="84" t="s">
        <v>881</v>
      </c>
      <c r="E16" s="84" t="s">
        <v>881</v>
      </c>
      <c r="F16" s="84" t="s">
        <v>882</v>
      </c>
      <c r="G16" s="84" t="s">
        <v>186</v>
      </c>
      <c r="H16" s="165">
        <v>3451.3</v>
      </c>
      <c r="I16" s="85">
        <v>11536.33</v>
      </c>
      <c r="J16" s="85">
        <v>23178.35</v>
      </c>
      <c r="K16" s="81">
        <v>34714.68</v>
      </c>
      <c r="L16" s="84" t="s">
        <v>883</v>
      </c>
      <c r="M16" s="84" t="s">
        <v>67</v>
      </c>
      <c r="N16" s="89" t="s">
        <v>884</v>
      </c>
      <c r="O16" s="89" t="s">
        <v>14</v>
      </c>
      <c r="P16" s="64"/>
      <c r="Q16" s="75"/>
    </row>
    <row r="17" spans="1:17" ht="26.25" thickBot="1" x14ac:dyDescent="0.25">
      <c r="A17" s="183">
        <v>11</v>
      </c>
      <c r="B17" s="107" t="s">
        <v>739</v>
      </c>
      <c r="C17" s="106" t="s">
        <v>825</v>
      </c>
      <c r="D17" s="169" t="s">
        <v>826</v>
      </c>
      <c r="E17" s="84" t="s">
        <v>826</v>
      </c>
      <c r="F17" s="84" t="s">
        <v>809</v>
      </c>
      <c r="G17" s="87" t="s">
        <v>39</v>
      </c>
      <c r="H17" s="165">
        <v>187.43</v>
      </c>
      <c r="I17" s="85">
        <v>650.91</v>
      </c>
      <c r="J17" s="85">
        <v>1218.29</v>
      </c>
      <c r="K17" s="81">
        <f>SUM(I17+J17)</f>
        <v>1869.1999999999998</v>
      </c>
      <c r="L17" s="84" t="s">
        <v>33</v>
      </c>
      <c r="M17" s="84" t="s">
        <v>41</v>
      </c>
      <c r="N17" s="89" t="s">
        <v>827</v>
      </c>
      <c r="O17" s="89" t="s">
        <v>14</v>
      </c>
      <c r="P17" s="64"/>
      <c r="Q17" s="75"/>
    </row>
    <row r="18" spans="1:17" ht="26.25" thickBot="1" x14ac:dyDescent="0.25">
      <c r="A18" s="183">
        <v>12</v>
      </c>
      <c r="B18" s="107" t="s">
        <v>785</v>
      </c>
      <c r="C18" s="106" t="s">
        <v>825</v>
      </c>
      <c r="D18" s="169" t="s">
        <v>646</v>
      </c>
      <c r="E18" s="84" t="s">
        <v>647</v>
      </c>
      <c r="F18" s="84" t="s">
        <v>828</v>
      </c>
      <c r="G18" s="87" t="s">
        <v>65</v>
      </c>
      <c r="H18" s="95">
        <v>249.5</v>
      </c>
      <c r="I18" s="85">
        <v>897.45</v>
      </c>
      <c r="J18" s="85">
        <v>2211.27</v>
      </c>
      <c r="K18" s="81">
        <f>SUM(I18+J18)</f>
        <v>3108.7200000000003</v>
      </c>
      <c r="L18" s="84" t="s">
        <v>20</v>
      </c>
      <c r="M18" s="84" t="s">
        <v>829</v>
      </c>
      <c r="N18" s="89" t="s">
        <v>830</v>
      </c>
      <c r="O18" s="89" t="s">
        <v>14</v>
      </c>
      <c r="P18" s="64"/>
      <c r="Q18" s="75"/>
    </row>
    <row r="19" spans="1:17" ht="26.25" thickBot="1" x14ac:dyDescent="0.25">
      <c r="A19" s="183">
        <v>13</v>
      </c>
      <c r="B19" s="178" t="s">
        <v>831</v>
      </c>
      <c r="C19" s="172" t="s">
        <v>825</v>
      </c>
      <c r="D19" s="173" t="s">
        <v>832</v>
      </c>
      <c r="E19" s="173" t="s">
        <v>832</v>
      </c>
      <c r="F19" s="171" t="s">
        <v>833</v>
      </c>
      <c r="G19" s="172" t="s">
        <v>834</v>
      </c>
      <c r="H19" s="95">
        <v>240.01</v>
      </c>
      <c r="I19" s="85" t="s">
        <v>127</v>
      </c>
      <c r="J19" s="85" t="s">
        <v>127</v>
      </c>
      <c r="K19" s="174" t="s">
        <v>127</v>
      </c>
      <c r="L19" s="171" t="s">
        <v>20</v>
      </c>
      <c r="M19" s="175" t="s">
        <v>21</v>
      </c>
      <c r="N19" s="176" t="s">
        <v>835</v>
      </c>
      <c r="O19" s="176" t="s">
        <v>14</v>
      </c>
      <c r="P19" s="64"/>
      <c r="Q19" s="75"/>
    </row>
    <row r="20" spans="1:17" ht="115.5" thickBot="1" x14ac:dyDescent="0.25">
      <c r="A20" s="183">
        <v>14</v>
      </c>
      <c r="B20" s="107" t="s">
        <v>341</v>
      </c>
      <c r="C20" s="106" t="s">
        <v>845</v>
      </c>
      <c r="D20" s="84" t="s">
        <v>846</v>
      </c>
      <c r="E20" s="84" t="s">
        <v>847</v>
      </c>
      <c r="F20" s="84" t="s">
        <v>848</v>
      </c>
      <c r="G20" s="106" t="s">
        <v>849</v>
      </c>
      <c r="H20" s="95">
        <v>9835</v>
      </c>
      <c r="I20" s="85">
        <v>63927.5</v>
      </c>
      <c r="J20" s="85">
        <v>61310.01</v>
      </c>
      <c r="K20" s="180">
        <v>125237.51</v>
      </c>
      <c r="L20" s="84" t="s">
        <v>850</v>
      </c>
      <c r="M20" s="84" t="s">
        <v>55</v>
      </c>
      <c r="N20" s="89" t="s">
        <v>851</v>
      </c>
      <c r="O20" s="89" t="s">
        <v>14</v>
      </c>
      <c r="P20" s="64"/>
      <c r="Q20" s="75"/>
    </row>
    <row r="21" spans="1:17" ht="64.5" thickBot="1" x14ac:dyDescent="0.25">
      <c r="A21" s="183">
        <v>15</v>
      </c>
      <c r="B21" s="179" t="s">
        <v>836</v>
      </c>
      <c r="C21" s="163" t="s">
        <v>801</v>
      </c>
      <c r="D21" s="177" t="s">
        <v>837</v>
      </c>
      <c r="E21" s="164" t="s">
        <v>838</v>
      </c>
      <c r="F21" s="164" t="s">
        <v>838</v>
      </c>
      <c r="G21" s="163" t="s">
        <v>119</v>
      </c>
      <c r="H21" s="165">
        <v>11879.01</v>
      </c>
      <c r="I21" s="166">
        <v>64056</v>
      </c>
      <c r="J21" s="166">
        <v>77515.25</v>
      </c>
      <c r="K21" s="181">
        <f t="shared" ref="K21:K30" si="0">SUM(I21+J21)</f>
        <v>141571.25</v>
      </c>
      <c r="L21" s="164" t="s">
        <v>839</v>
      </c>
      <c r="M21" s="164" t="s">
        <v>55</v>
      </c>
      <c r="N21" s="167" t="s">
        <v>840</v>
      </c>
      <c r="O21" s="167" t="s">
        <v>14</v>
      </c>
      <c r="P21" s="64"/>
      <c r="Q21" s="75"/>
    </row>
    <row r="22" spans="1:17" ht="26.25" thickBot="1" x14ac:dyDescent="0.25">
      <c r="A22" s="183">
        <v>16</v>
      </c>
      <c r="B22" s="107" t="s">
        <v>841</v>
      </c>
      <c r="C22" s="106" t="s">
        <v>801</v>
      </c>
      <c r="D22" s="169" t="s">
        <v>842</v>
      </c>
      <c r="E22" s="84" t="s">
        <v>842</v>
      </c>
      <c r="F22" s="84" t="s">
        <v>843</v>
      </c>
      <c r="G22" s="84" t="s">
        <v>95</v>
      </c>
      <c r="H22" s="165">
        <v>249.5</v>
      </c>
      <c r="I22" s="85">
        <v>0</v>
      </c>
      <c r="J22" s="85">
        <v>1621.75</v>
      </c>
      <c r="K22" s="81">
        <f t="shared" si="0"/>
        <v>1621.75</v>
      </c>
      <c r="L22" s="84" t="s">
        <v>20</v>
      </c>
      <c r="M22" s="84" t="s">
        <v>829</v>
      </c>
      <c r="N22" s="89" t="s">
        <v>844</v>
      </c>
      <c r="O22" s="89" t="s">
        <v>14</v>
      </c>
      <c r="P22" s="64"/>
      <c r="Q22" s="75"/>
    </row>
    <row r="23" spans="1:17" ht="77.25" thickBot="1" x14ac:dyDescent="0.25">
      <c r="A23" s="183">
        <v>17</v>
      </c>
      <c r="B23" s="107" t="s">
        <v>318</v>
      </c>
      <c r="C23" s="106" t="s">
        <v>801</v>
      </c>
      <c r="D23" s="84" t="s">
        <v>802</v>
      </c>
      <c r="E23" s="84" t="s">
        <v>803</v>
      </c>
      <c r="F23" s="84" t="s">
        <v>804</v>
      </c>
      <c r="G23" s="84" t="s">
        <v>373</v>
      </c>
      <c r="H23" s="165">
        <v>19548.2</v>
      </c>
      <c r="I23" s="85">
        <v>97600.44</v>
      </c>
      <c r="J23" s="85">
        <v>127484.59</v>
      </c>
      <c r="K23" s="81">
        <f t="shared" si="0"/>
        <v>225085.03</v>
      </c>
      <c r="L23" s="84" t="s">
        <v>805</v>
      </c>
      <c r="M23" s="84" t="s">
        <v>55</v>
      </c>
      <c r="N23" s="89" t="s">
        <v>806</v>
      </c>
      <c r="O23" s="89" t="s">
        <v>14</v>
      </c>
      <c r="P23" s="64"/>
      <c r="Q23" s="75"/>
    </row>
    <row r="24" spans="1:17" ht="26.25" thickBot="1" x14ac:dyDescent="0.25">
      <c r="A24" s="183">
        <v>18</v>
      </c>
      <c r="B24" s="107" t="s">
        <v>739</v>
      </c>
      <c r="C24" s="106" t="s">
        <v>819</v>
      </c>
      <c r="D24" s="169" t="s">
        <v>820</v>
      </c>
      <c r="E24" s="84" t="s">
        <v>820</v>
      </c>
      <c r="F24" s="84" t="s">
        <v>821</v>
      </c>
      <c r="G24" s="87" t="s">
        <v>95</v>
      </c>
      <c r="H24" s="165">
        <v>179.25</v>
      </c>
      <c r="I24" s="85">
        <v>316.76</v>
      </c>
      <c r="J24" s="85">
        <v>1165.05</v>
      </c>
      <c r="K24" s="81">
        <f t="shared" si="0"/>
        <v>1481.81</v>
      </c>
      <c r="L24" s="84" t="s">
        <v>33</v>
      </c>
      <c r="M24" s="84" t="s">
        <v>41</v>
      </c>
      <c r="N24" s="89" t="s">
        <v>822</v>
      </c>
      <c r="O24" s="89" t="s">
        <v>14</v>
      </c>
      <c r="P24" s="64"/>
      <c r="Q24" s="75"/>
    </row>
    <row r="25" spans="1:17" ht="26.25" thickBot="1" x14ac:dyDescent="0.25">
      <c r="A25" s="183">
        <v>19</v>
      </c>
      <c r="B25" s="107" t="s">
        <v>683</v>
      </c>
      <c r="C25" s="106" t="s">
        <v>819</v>
      </c>
      <c r="D25" s="169" t="s">
        <v>823</v>
      </c>
      <c r="E25" s="169" t="s">
        <v>823</v>
      </c>
      <c r="F25" s="84" t="s">
        <v>776</v>
      </c>
      <c r="G25" s="87" t="s">
        <v>95</v>
      </c>
      <c r="H25" s="165">
        <v>175.54</v>
      </c>
      <c r="I25" s="85">
        <v>306.33</v>
      </c>
      <c r="J25" s="85">
        <v>1141</v>
      </c>
      <c r="K25" s="81">
        <f t="shared" si="0"/>
        <v>1447.33</v>
      </c>
      <c r="L25" s="84" t="s">
        <v>33</v>
      </c>
      <c r="M25" s="84" t="s">
        <v>41</v>
      </c>
      <c r="N25" s="89" t="s">
        <v>824</v>
      </c>
      <c r="O25" s="89" t="s">
        <v>14</v>
      </c>
      <c r="P25" s="64"/>
      <c r="Q25" s="75"/>
    </row>
    <row r="26" spans="1:17" ht="26.25" thickBot="1" x14ac:dyDescent="0.25">
      <c r="A26" s="183">
        <v>20</v>
      </c>
      <c r="B26" s="107" t="s">
        <v>542</v>
      </c>
      <c r="C26" s="106" t="s">
        <v>807</v>
      </c>
      <c r="D26" s="84" t="s">
        <v>808</v>
      </c>
      <c r="E26" s="84" t="s">
        <v>808</v>
      </c>
      <c r="F26" s="84" t="s">
        <v>809</v>
      </c>
      <c r="G26" s="87" t="s">
        <v>39</v>
      </c>
      <c r="H26" s="165">
        <v>267.16000000000003</v>
      </c>
      <c r="I26" s="85">
        <v>690.83</v>
      </c>
      <c r="J26" s="85">
        <v>1736.54</v>
      </c>
      <c r="K26" s="81">
        <f t="shared" si="0"/>
        <v>2427.37</v>
      </c>
      <c r="L26" s="84" t="s">
        <v>40</v>
      </c>
      <c r="M26" s="84" t="s">
        <v>41</v>
      </c>
      <c r="N26" s="89" t="s">
        <v>810</v>
      </c>
      <c r="O26" s="89" t="s">
        <v>14</v>
      </c>
      <c r="P26" s="64"/>
      <c r="Q26" s="75"/>
    </row>
    <row r="27" spans="1:17" ht="26.25" thickBot="1" x14ac:dyDescent="0.25">
      <c r="A27" s="183">
        <v>21</v>
      </c>
      <c r="B27" s="107" t="s">
        <v>582</v>
      </c>
      <c r="C27" s="106" t="s">
        <v>750</v>
      </c>
      <c r="D27" s="84" t="s">
        <v>751</v>
      </c>
      <c r="E27" s="84" t="s">
        <v>751</v>
      </c>
      <c r="F27" s="84" t="s">
        <v>752</v>
      </c>
      <c r="G27" s="87" t="s">
        <v>39</v>
      </c>
      <c r="H27" s="165">
        <v>382.3</v>
      </c>
      <c r="I27" s="85">
        <v>1084.55</v>
      </c>
      <c r="J27" s="85">
        <v>2725.78</v>
      </c>
      <c r="K27" s="81">
        <f t="shared" si="0"/>
        <v>3810.33</v>
      </c>
      <c r="L27" s="84" t="s">
        <v>753</v>
      </c>
      <c r="M27" s="84" t="s">
        <v>41</v>
      </c>
      <c r="N27" s="89" t="s">
        <v>754</v>
      </c>
      <c r="O27" s="89" t="s">
        <v>14</v>
      </c>
      <c r="P27" s="64"/>
      <c r="Q27" s="75"/>
    </row>
    <row r="28" spans="1:17" ht="26.25" thickBot="1" x14ac:dyDescent="0.25">
      <c r="A28" s="183">
        <v>22</v>
      </c>
      <c r="B28" s="107" t="s">
        <v>734</v>
      </c>
      <c r="C28" s="106" t="s">
        <v>755</v>
      </c>
      <c r="D28" s="84" t="s">
        <v>756</v>
      </c>
      <c r="E28" s="84" t="s">
        <v>757</v>
      </c>
      <c r="F28" s="84" t="s">
        <v>758</v>
      </c>
      <c r="G28" s="87" t="s">
        <v>317</v>
      </c>
      <c r="H28" s="165">
        <v>8901.92</v>
      </c>
      <c r="I28" s="85">
        <v>43576.4</v>
      </c>
      <c r="J28" s="85">
        <v>58263.72</v>
      </c>
      <c r="K28" s="81">
        <f t="shared" si="0"/>
        <v>101840.12</v>
      </c>
      <c r="L28" s="84" t="s">
        <v>759</v>
      </c>
      <c r="M28" s="84" t="s">
        <v>55</v>
      </c>
      <c r="N28" s="89" t="s">
        <v>760</v>
      </c>
      <c r="O28" s="89" t="s">
        <v>14</v>
      </c>
      <c r="P28" s="64"/>
      <c r="Q28" s="75"/>
    </row>
    <row r="29" spans="1:17" ht="26.25" thickBot="1" x14ac:dyDescent="0.25">
      <c r="A29" s="183">
        <v>23</v>
      </c>
      <c r="B29" s="107" t="s">
        <v>485</v>
      </c>
      <c r="C29" s="106" t="s">
        <v>812</v>
      </c>
      <c r="D29" s="169" t="s">
        <v>817</v>
      </c>
      <c r="E29" s="84" t="s">
        <v>817</v>
      </c>
      <c r="F29" s="84" t="s">
        <v>818</v>
      </c>
      <c r="G29" s="84" t="s">
        <v>53</v>
      </c>
      <c r="H29" s="165">
        <v>10032.65</v>
      </c>
      <c r="I29" s="85">
        <v>52246.87</v>
      </c>
      <c r="J29" s="85">
        <v>66130.27</v>
      </c>
      <c r="K29" s="81">
        <f t="shared" si="0"/>
        <v>118377.14000000001</v>
      </c>
      <c r="L29" s="84" t="s">
        <v>54</v>
      </c>
      <c r="M29" s="84" t="s">
        <v>55</v>
      </c>
      <c r="N29" s="89" t="s">
        <v>816</v>
      </c>
      <c r="O29" s="89" t="s">
        <v>14</v>
      </c>
      <c r="P29" s="64"/>
      <c r="Q29" s="75"/>
    </row>
    <row r="30" spans="1:17" ht="26.25" thickBot="1" x14ac:dyDescent="0.25">
      <c r="A30" s="183">
        <v>24</v>
      </c>
      <c r="B30" s="107" t="s">
        <v>735</v>
      </c>
      <c r="C30" s="106" t="s">
        <v>812</v>
      </c>
      <c r="D30" s="169" t="s">
        <v>813</v>
      </c>
      <c r="E30" s="84" t="s">
        <v>814</v>
      </c>
      <c r="F30" s="84" t="s">
        <v>458</v>
      </c>
      <c r="G30" s="84" t="s">
        <v>186</v>
      </c>
      <c r="H30" s="165">
        <v>846.44</v>
      </c>
      <c r="I30" s="85">
        <v>0</v>
      </c>
      <c r="J30" s="85">
        <v>5501.86</v>
      </c>
      <c r="K30" s="81">
        <f t="shared" si="0"/>
        <v>5501.86</v>
      </c>
      <c r="L30" s="84" t="s">
        <v>60</v>
      </c>
      <c r="M30" s="84" t="s">
        <v>815</v>
      </c>
      <c r="N30" s="89" t="s">
        <v>816</v>
      </c>
      <c r="O30" s="89" t="s">
        <v>14</v>
      </c>
      <c r="P30" s="64"/>
      <c r="Q30" s="75"/>
    </row>
    <row r="31" spans="1:17" ht="115.5" thickBot="1" x14ac:dyDescent="0.25">
      <c r="A31" s="183">
        <v>25</v>
      </c>
      <c r="B31" s="179" t="s">
        <v>327</v>
      </c>
      <c r="C31" s="163" t="s">
        <v>761</v>
      </c>
      <c r="D31" s="168" t="s">
        <v>762</v>
      </c>
      <c r="E31" s="164" t="s">
        <v>763</v>
      </c>
      <c r="F31" s="164" t="s">
        <v>518</v>
      </c>
      <c r="G31" s="164" t="s">
        <v>53</v>
      </c>
      <c r="H31" s="165">
        <v>10283.1</v>
      </c>
      <c r="I31" s="166">
        <v>50469.760000000002</v>
      </c>
      <c r="J31" s="166">
        <v>67196.56</v>
      </c>
      <c r="K31" s="145">
        <f t="shared" ref="K31:K68" si="1">SUM(I31+J31)</f>
        <v>117666.32</v>
      </c>
      <c r="L31" s="164" t="s">
        <v>764</v>
      </c>
      <c r="M31" s="164" t="s">
        <v>55</v>
      </c>
      <c r="N31" s="167" t="s">
        <v>765</v>
      </c>
      <c r="O31" s="167" t="s">
        <v>14</v>
      </c>
      <c r="P31" s="64"/>
      <c r="Q31" s="75"/>
    </row>
    <row r="32" spans="1:17" ht="115.5" thickBot="1" x14ac:dyDescent="0.25">
      <c r="A32" s="183">
        <v>26</v>
      </c>
      <c r="B32" s="107" t="s">
        <v>535</v>
      </c>
      <c r="C32" s="106" t="s">
        <v>761</v>
      </c>
      <c r="D32" s="84" t="s">
        <v>762</v>
      </c>
      <c r="E32" s="84" t="s">
        <v>766</v>
      </c>
      <c r="F32" s="84" t="s">
        <v>518</v>
      </c>
      <c r="G32" s="84" t="s">
        <v>53</v>
      </c>
      <c r="H32" s="95">
        <v>6475.3</v>
      </c>
      <c r="I32" s="85">
        <v>25276.35</v>
      </c>
      <c r="J32" s="85">
        <v>42673.68</v>
      </c>
      <c r="K32" s="145">
        <f t="shared" si="1"/>
        <v>67950.03</v>
      </c>
      <c r="L32" s="84" t="s">
        <v>767</v>
      </c>
      <c r="M32" s="84" t="s">
        <v>55</v>
      </c>
      <c r="N32" s="89" t="s">
        <v>768</v>
      </c>
      <c r="O32" s="89" t="s">
        <v>14</v>
      </c>
      <c r="P32" s="64"/>
      <c r="Q32" s="75"/>
    </row>
    <row r="33" spans="1:17" ht="26.25" thickBot="1" x14ac:dyDescent="0.25">
      <c r="A33" s="183">
        <v>27</v>
      </c>
      <c r="B33" s="107" t="s">
        <v>769</v>
      </c>
      <c r="C33" s="106" t="s">
        <v>770</v>
      </c>
      <c r="D33" s="84" t="s">
        <v>771</v>
      </c>
      <c r="E33" s="84" t="s">
        <v>771</v>
      </c>
      <c r="F33" s="84" t="s">
        <v>772</v>
      </c>
      <c r="G33" s="87" t="s">
        <v>186</v>
      </c>
      <c r="H33" s="95">
        <v>146.35</v>
      </c>
      <c r="I33" s="85">
        <v>247.2</v>
      </c>
      <c r="J33" s="85">
        <v>951.27</v>
      </c>
      <c r="K33" s="81">
        <f t="shared" si="1"/>
        <v>1198.47</v>
      </c>
      <c r="L33" s="84" t="s">
        <v>33</v>
      </c>
      <c r="M33" s="84" t="s">
        <v>41</v>
      </c>
      <c r="N33" s="89" t="s">
        <v>773</v>
      </c>
      <c r="O33" s="89" t="s">
        <v>14</v>
      </c>
      <c r="P33" s="64"/>
      <c r="Q33" s="75"/>
    </row>
    <row r="34" spans="1:17" ht="26.25" thickBot="1" x14ac:dyDescent="0.25">
      <c r="A34" s="183">
        <v>28</v>
      </c>
      <c r="B34" s="107" t="s">
        <v>774</v>
      </c>
      <c r="C34" s="106" t="s">
        <v>770</v>
      </c>
      <c r="D34" s="84" t="s">
        <v>775</v>
      </c>
      <c r="E34" s="84" t="s">
        <v>775</v>
      </c>
      <c r="F34" s="84" t="s">
        <v>776</v>
      </c>
      <c r="G34" s="87" t="s">
        <v>65</v>
      </c>
      <c r="H34" s="95">
        <v>87.05</v>
      </c>
      <c r="I34" s="85">
        <v>0</v>
      </c>
      <c r="J34" s="85">
        <v>565.82000000000005</v>
      </c>
      <c r="K34" s="81">
        <f t="shared" si="1"/>
        <v>565.82000000000005</v>
      </c>
      <c r="L34" s="84" t="s">
        <v>72</v>
      </c>
      <c r="M34" s="87" t="s">
        <v>777</v>
      </c>
      <c r="N34" s="86" t="s">
        <v>778</v>
      </c>
      <c r="O34" s="89" t="s">
        <v>14</v>
      </c>
      <c r="P34" s="64"/>
      <c r="Q34" s="75"/>
    </row>
    <row r="35" spans="1:17" ht="26.25" thickBot="1" x14ac:dyDescent="0.25">
      <c r="A35" s="183">
        <v>29</v>
      </c>
      <c r="B35" s="107" t="s">
        <v>471</v>
      </c>
      <c r="C35" s="106" t="s">
        <v>779</v>
      </c>
      <c r="D35" s="84" t="s">
        <v>780</v>
      </c>
      <c r="E35" s="84" t="s">
        <v>780</v>
      </c>
      <c r="F35" s="84" t="s">
        <v>781</v>
      </c>
      <c r="G35" s="84" t="s">
        <v>436</v>
      </c>
      <c r="H35" s="95">
        <v>521.73</v>
      </c>
      <c r="I35" s="85">
        <v>3335.2</v>
      </c>
      <c r="J35" s="85">
        <v>3391.25</v>
      </c>
      <c r="K35" s="81">
        <f t="shared" si="1"/>
        <v>6726.45</v>
      </c>
      <c r="L35" s="84" t="s">
        <v>649</v>
      </c>
      <c r="M35" s="87" t="s">
        <v>41</v>
      </c>
      <c r="N35" s="86" t="s">
        <v>782</v>
      </c>
      <c r="O35" s="89" t="s">
        <v>14</v>
      </c>
      <c r="P35" s="64"/>
      <c r="Q35" s="75"/>
    </row>
    <row r="36" spans="1:17" ht="26.25" thickBot="1" x14ac:dyDescent="0.25">
      <c r="A36" s="183">
        <v>30</v>
      </c>
      <c r="B36" s="107" t="s">
        <v>341</v>
      </c>
      <c r="C36" s="106" t="s">
        <v>779</v>
      </c>
      <c r="D36" s="84" t="s">
        <v>783</v>
      </c>
      <c r="E36" s="84" t="s">
        <v>783</v>
      </c>
      <c r="F36" s="84" t="s">
        <v>256</v>
      </c>
      <c r="G36" s="87" t="s">
        <v>95</v>
      </c>
      <c r="H36" s="95">
        <v>220.21</v>
      </c>
      <c r="I36" s="85">
        <v>579.38</v>
      </c>
      <c r="J36" s="85">
        <v>1431.37</v>
      </c>
      <c r="K36" s="81">
        <f t="shared" si="1"/>
        <v>2010.75</v>
      </c>
      <c r="L36" s="84" t="s">
        <v>40</v>
      </c>
      <c r="M36" s="87" t="s">
        <v>41</v>
      </c>
      <c r="N36" s="86" t="s">
        <v>784</v>
      </c>
      <c r="O36" s="89" t="s">
        <v>14</v>
      </c>
      <c r="P36" s="64"/>
      <c r="Q36" s="75"/>
    </row>
    <row r="37" spans="1:17" ht="26.25" thickBot="1" x14ac:dyDescent="0.25">
      <c r="A37" s="183">
        <v>31</v>
      </c>
      <c r="B37" s="107" t="s">
        <v>785</v>
      </c>
      <c r="C37" s="106" t="s">
        <v>779</v>
      </c>
      <c r="D37" s="84" t="s">
        <v>646</v>
      </c>
      <c r="E37" s="84" t="s">
        <v>647</v>
      </c>
      <c r="F37" s="84" t="s">
        <v>648</v>
      </c>
      <c r="G37" s="87" t="s">
        <v>65</v>
      </c>
      <c r="H37" s="95">
        <v>316.5</v>
      </c>
      <c r="I37" s="85">
        <v>862.26</v>
      </c>
      <c r="J37" s="85">
        <v>2144.65</v>
      </c>
      <c r="K37" s="81">
        <f t="shared" si="1"/>
        <v>3006.91</v>
      </c>
      <c r="L37" s="84" t="s">
        <v>649</v>
      </c>
      <c r="M37" s="87" t="s">
        <v>41</v>
      </c>
      <c r="N37" s="86" t="s">
        <v>786</v>
      </c>
      <c r="O37" s="89" t="s">
        <v>14</v>
      </c>
      <c r="P37" s="64"/>
      <c r="Q37" s="75"/>
    </row>
    <row r="38" spans="1:17" ht="26.25" thickBot="1" x14ac:dyDescent="0.25">
      <c r="A38" s="183">
        <v>32</v>
      </c>
      <c r="B38" s="107" t="s">
        <v>284</v>
      </c>
      <c r="C38" s="106" t="s">
        <v>779</v>
      </c>
      <c r="D38" s="84" t="s">
        <v>646</v>
      </c>
      <c r="E38" s="84" t="s">
        <v>647</v>
      </c>
      <c r="F38" s="84" t="s">
        <v>648</v>
      </c>
      <c r="G38" s="87" t="s">
        <v>65</v>
      </c>
      <c r="H38" s="95">
        <v>311.5</v>
      </c>
      <c r="I38" s="85">
        <v>843.49</v>
      </c>
      <c r="J38" s="85">
        <v>2101.2399999999998</v>
      </c>
      <c r="K38" s="81">
        <f t="shared" si="1"/>
        <v>2944.7299999999996</v>
      </c>
      <c r="L38" s="84" t="s">
        <v>649</v>
      </c>
      <c r="M38" s="87" t="s">
        <v>41</v>
      </c>
      <c r="N38" s="86" t="s">
        <v>787</v>
      </c>
      <c r="O38" s="89" t="s">
        <v>14</v>
      </c>
      <c r="P38" s="64"/>
      <c r="Q38" s="75"/>
    </row>
    <row r="39" spans="1:17" ht="26.25" thickBot="1" x14ac:dyDescent="0.25">
      <c r="A39" s="183">
        <v>33</v>
      </c>
      <c r="B39" s="107" t="s">
        <v>788</v>
      </c>
      <c r="C39" s="106" t="s">
        <v>789</v>
      </c>
      <c r="D39" s="84" t="s">
        <v>790</v>
      </c>
      <c r="E39" s="84" t="s">
        <v>791</v>
      </c>
      <c r="F39" s="84" t="s">
        <v>88</v>
      </c>
      <c r="G39" s="87" t="s">
        <v>186</v>
      </c>
      <c r="H39" s="95">
        <v>4022.2</v>
      </c>
      <c r="I39" s="85">
        <v>100.49</v>
      </c>
      <c r="J39" s="85">
        <v>26144.3</v>
      </c>
      <c r="K39" s="81">
        <f t="shared" si="1"/>
        <v>26244.79</v>
      </c>
      <c r="L39" s="84" t="s">
        <v>792</v>
      </c>
      <c r="M39" s="87" t="s">
        <v>602</v>
      </c>
      <c r="N39" s="86" t="s">
        <v>793</v>
      </c>
      <c r="O39" s="89" t="s">
        <v>14</v>
      </c>
      <c r="P39" s="64"/>
      <c r="Q39" s="75"/>
    </row>
    <row r="40" spans="1:17" ht="26.25" thickBot="1" x14ac:dyDescent="0.25">
      <c r="A40" s="183">
        <v>34</v>
      </c>
      <c r="B40" s="107" t="s">
        <v>504</v>
      </c>
      <c r="C40" s="106" t="s">
        <v>789</v>
      </c>
      <c r="D40" s="84" t="s">
        <v>794</v>
      </c>
      <c r="E40" s="84" t="s">
        <v>794</v>
      </c>
      <c r="F40" s="84" t="s">
        <v>531</v>
      </c>
      <c r="G40" s="87" t="s">
        <v>317</v>
      </c>
      <c r="H40" s="95">
        <v>286.87</v>
      </c>
      <c r="I40" s="85">
        <v>847.85</v>
      </c>
      <c r="J40" s="85">
        <v>1864.65</v>
      </c>
      <c r="K40" s="81">
        <f t="shared" si="1"/>
        <v>2712.5</v>
      </c>
      <c r="L40" s="84" t="s">
        <v>33</v>
      </c>
      <c r="M40" s="87" t="s">
        <v>41</v>
      </c>
      <c r="N40" s="86" t="s">
        <v>795</v>
      </c>
      <c r="O40" s="89" t="s">
        <v>14</v>
      </c>
      <c r="P40" s="64"/>
      <c r="Q40" s="75"/>
    </row>
    <row r="41" spans="1:17" ht="26.25" thickBot="1" x14ac:dyDescent="0.25">
      <c r="A41" s="183">
        <v>35</v>
      </c>
      <c r="B41" s="107" t="s">
        <v>379</v>
      </c>
      <c r="C41" s="106" t="s">
        <v>796</v>
      </c>
      <c r="D41" s="84" t="s">
        <v>797</v>
      </c>
      <c r="E41" s="84" t="s">
        <v>798</v>
      </c>
      <c r="F41" s="84" t="s">
        <v>799</v>
      </c>
      <c r="G41" s="87" t="s">
        <v>317</v>
      </c>
      <c r="H41" s="95">
        <v>3079.52</v>
      </c>
      <c r="I41" s="85">
        <v>18271.27</v>
      </c>
      <c r="J41" s="85">
        <v>20099.47</v>
      </c>
      <c r="K41" s="81">
        <f t="shared" si="1"/>
        <v>38370.740000000005</v>
      </c>
      <c r="L41" s="84" t="s">
        <v>495</v>
      </c>
      <c r="M41" s="84" t="s">
        <v>55</v>
      </c>
      <c r="N41" s="86" t="s">
        <v>800</v>
      </c>
      <c r="O41" s="89" t="s">
        <v>14</v>
      </c>
      <c r="P41" s="64"/>
      <c r="Q41" s="75"/>
    </row>
    <row r="42" spans="1:17" ht="25.5" x14ac:dyDescent="0.2">
      <c r="A42" s="183">
        <v>36</v>
      </c>
      <c r="B42" s="135" t="s">
        <v>276</v>
      </c>
      <c r="C42" s="114" t="s">
        <v>645</v>
      </c>
      <c r="D42" s="84" t="s">
        <v>646</v>
      </c>
      <c r="E42" s="84" t="s">
        <v>647</v>
      </c>
      <c r="F42" s="84" t="s">
        <v>648</v>
      </c>
      <c r="G42" s="87" t="s">
        <v>65</v>
      </c>
      <c r="H42" s="95">
        <v>302.31</v>
      </c>
      <c r="I42" s="85">
        <v>555.74</v>
      </c>
      <c r="J42" s="85">
        <v>2144.38</v>
      </c>
      <c r="K42" s="81">
        <f t="shared" si="1"/>
        <v>2700.12</v>
      </c>
      <c r="L42" s="84" t="s">
        <v>649</v>
      </c>
      <c r="M42" s="87" t="s">
        <v>41</v>
      </c>
      <c r="N42" s="86" t="s">
        <v>650</v>
      </c>
      <c r="O42" s="89" t="s">
        <v>14</v>
      </c>
      <c r="P42" s="87"/>
      <c r="Q42" s="87"/>
    </row>
    <row r="43" spans="1:17" ht="25.5" x14ac:dyDescent="0.2">
      <c r="A43" s="183">
        <v>37</v>
      </c>
      <c r="B43" s="135" t="s">
        <v>651</v>
      </c>
      <c r="C43" s="114" t="s">
        <v>150</v>
      </c>
      <c r="D43" s="84" t="s">
        <v>652</v>
      </c>
      <c r="E43" s="84" t="s">
        <v>652</v>
      </c>
      <c r="F43" s="84" t="s">
        <v>653</v>
      </c>
      <c r="G43" s="87" t="s">
        <v>39</v>
      </c>
      <c r="H43" s="95">
        <v>159.62</v>
      </c>
      <c r="I43" s="85">
        <v>0</v>
      </c>
      <c r="J43" s="85">
        <v>1037.53</v>
      </c>
      <c r="K43" s="81">
        <f t="shared" si="1"/>
        <v>1037.53</v>
      </c>
      <c r="L43" s="84" t="s">
        <v>20</v>
      </c>
      <c r="M43" s="87" t="s">
        <v>654</v>
      </c>
      <c r="N43" s="86" t="s">
        <v>655</v>
      </c>
      <c r="O43" s="89" t="s">
        <v>14</v>
      </c>
      <c r="P43" s="87"/>
      <c r="Q43" s="87"/>
    </row>
    <row r="44" spans="1:17" ht="38.25" x14ac:dyDescent="0.2">
      <c r="A44" s="183">
        <v>38</v>
      </c>
      <c r="B44" s="135" t="s">
        <v>656</v>
      </c>
      <c r="C44" s="114" t="s">
        <v>657</v>
      </c>
      <c r="D44" s="84" t="s">
        <v>658</v>
      </c>
      <c r="E44" s="84" t="s">
        <v>659</v>
      </c>
      <c r="F44" s="84" t="s">
        <v>660</v>
      </c>
      <c r="G44" s="87" t="s">
        <v>39</v>
      </c>
      <c r="H44" s="95">
        <v>17787.39</v>
      </c>
      <c r="I44" s="85">
        <v>94556.2</v>
      </c>
      <c r="J44" s="85">
        <v>116345.41</v>
      </c>
      <c r="K44" s="81">
        <f t="shared" si="1"/>
        <v>210901.61</v>
      </c>
      <c r="L44" s="84" t="s">
        <v>661</v>
      </c>
      <c r="M44" s="87" t="s">
        <v>55</v>
      </c>
      <c r="N44" s="86" t="s">
        <v>662</v>
      </c>
      <c r="O44" s="89" t="s">
        <v>14</v>
      </c>
      <c r="P44" s="87"/>
      <c r="Q44" s="87"/>
    </row>
    <row r="45" spans="1:17" ht="38.25" x14ac:dyDescent="0.2">
      <c r="A45" s="183">
        <v>39</v>
      </c>
      <c r="B45" s="135" t="s">
        <v>284</v>
      </c>
      <c r="C45" s="114" t="s">
        <v>663</v>
      </c>
      <c r="D45" s="84" t="s">
        <v>664</v>
      </c>
      <c r="E45" s="84" t="s">
        <v>647</v>
      </c>
      <c r="F45" s="84" t="s">
        <v>648</v>
      </c>
      <c r="G45" s="87" t="s">
        <v>65</v>
      </c>
      <c r="H45" s="95">
        <v>283.38</v>
      </c>
      <c r="I45" s="85">
        <v>843.16</v>
      </c>
      <c r="J45" s="85">
        <v>2061.42</v>
      </c>
      <c r="K45" s="81">
        <f t="shared" si="1"/>
        <v>2904.58</v>
      </c>
      <c r="L45" s="84" t="s">
        <v>40</v>
      </c>
      <c r="M45" s="87" t="s">
        <v>41</v>
      </c>
      <c r="N45" s="86" t="s">
        <v>665</v>
      </c>
      <c r="O45" s="89" t="s">
        <v>14</v>
      </c>
      <c r="P45" s="87"/>
      <c r="Q45" s="87"/>
    </row>
    <row r="46" spans="1:17" ht="102" x14ac:dyDescent="0.2">
      <c r="A46" s="183">
        <v>40</v>
      </c>
      <c r="B46" s="107" t="s">
        <v>576</v>
      </c>
      <c r="C46" s="106" t="s">
        <v>657</v>
      </c>
      <c r="D46" s="84" t="s">
        <v>666</v>
      </c>
      <c r="E46" s="84" t="s">
        <v>666</v>
      </c>
      <c r="F46" s="84" t="s">
        <v>667</v>
      </c>
      <c r="G46" s="84" t="s">
        <v>373</v>
      </c>
      <c r="H46" s="95">
        <v>14240.5</v>
      </c>
      <c r="I46" s="85">
        <v>67650.289999999994</v>
      </c>
      <c r="J46" s="85">
        <v>92884.41</v>
      </c>
      <c r="K46" s="145">
        <f t="shared" si="1"/>
        <v>160534.70000000001</v>
      </c>
      <c r="L46" s="84" t="s">
        <v>546</v>
      </c>
      <c r="M46" s="84" t="s">
        <v>55</v>
      </c>
      <c r="N46" s="89" t="s">
        <v>668</v>
      </c>
      <c r="O46" s="89" t="s">
        <v>14</v>
      </c>
      <c r="P46" s="87"/>
      <c r="Q46" s="87"/>
    </row>
    <row r="47" spans="1:17" ht="25.5" x14ac:dyDescent="0.2">
      <c r="A47" s="183">
        <v>41</v>
      </c>
      <c r="B47" s="108" t="s">
        <v>669</v>
      </c>
      <c r="C47" s="114" t="s">
        <v>657</v>
      </c>
      <c r="D47" s="87" t="s">
        <v>670</v>
      </c>
      <c r="E47" s="87" t="s">
        <v>671</v>
      </c>
      <c r="F47" s="87" t="s">
        <v>597</v>
      </c>
      <c r="G47" s="87" t="s">
        <v>53</v>
      </c>
      <c r="H47" s="95">
        <v>3546</v>
      </c>
      <c r="I47" s="88">
        <v>16853.830000000002</v>
      </c>
      <c r="J47" s="88">
        <v>22885.77</v>
      </c>
      <c r="K47" s="81">
        <f t="shared" si="1"/>
        <v>39739.600000000006</v>
      </c>
      <c r="L47" s="87" t="s">
        <v>672</v>
      </c>
      <c r="M47" s="87" t="s">
        <v>55</v>
      </c>
      <c r="N47" s="86" t="s">
        <v>673</v>
      </c>
      <c r="O47" s="86" t="s">
        <v>14</v>
      </c>
      <c r="P47" s="87"/>
      <c r="Q47" s="87"/>
    </row>
    <row r="48" spans="1:17" ht="25.5" x14ac:dyDescent="0.2">
      <c r="A48" s="183">
        <v>42</v>
      </c>
      <c r="B48" s="108" t="s">
        <v>556</v>
      </c>
      <c r="C48" s="114" t="s">
        <v>674</v>
      </c>
      <c r="D48" s="87" t="s">
        <v>675</v>
      </c>
      <c r="E48" s="87" t="s">
        <v>675</v>
      </c>
      <c r="F48" s="87" t="s">
        <v>676</v>
      </c>
      <c r="G48" s="87" t="s">
        <v>677</v>
      </c>
      <c r="H48" s="95">
        <v>181.14</v>
      </c>
      <c r="I48" s="88">
        <v>662.59</v>
      </c>
      <c r="J48" s="88">
        <v>1177.4100000000001</v>
      </c>
      <c r="K48" s="81">
        <f t="shared" si="1"/>
        <v>1840</v>
      </c>
      <c r="L48" s="87" t="s">
        <v>33</v>
      </c>
      <c r="M48" s="87" t="s">
        <v>41</v>
      </c>
      <c r="N48" s="86" t="s">
        <v>678</v>
      </c>
      <c r="O48" s="86" t="s">
        <v>14</v>
      </c>
      <c r="P48" s="87"/>
      <c r="Q48" s="87"/>
    </row>
    <row r="49" spans="1:17" ht="51" x14ac:dyDescent="0.2">
      <c r="A49" s="183">
        <v>43</v>
      </c>
      <c r="B49" s="133" t="s">
        <v>669</v>
      </c>
      <c r="C49" s="134" t="s">
        <v>679</v>
      </c>
      <c r="D49" s="87" t="s">
        <v>680</v>
      </c>
      <c r="E49" s="87" t="s">
        <v>680</v>
      </c>
      <c r="F49" s="87" t="s">
        <v>680</v>
      </c>
      <c r="G49" s="87" t="s">
        <v>25</v>
      </c>
      <c r="H49" s="95">
        <v>48531.91</v>
      </c>
      <c r="I49" s="88">
        <v>240400.83</v>
      </c>
      <c r="J49" s="88">
        <v>323054.65999999997</v>
      </c>
      <c r="K49" s="81">
        <f t="shared" si="1"/>
        <v>563455.49</v>
      </c>
      <c r="L49" s="87" t="s">
        <v>681</v>
      </c>
      <c r="M49" s="87" t="s">
        <v>55</v>
      </c>
      <c r="N49" s="86" t="s">
        <v>682</v>
      </c>
      <c r="O49" s="86" t="s">
        <v>14</v>
      </c>
      <c r="P49" s="87"/>
      <c r="Q49" s="87"/>
    </row>
    <row r="50" spans="1:17" ht="25.5" x14ac:dyDescent="0.2">
      <c r="A50" s="183">
        <v>44</v>
      </c>
      <c r="B50" s="108" t="s">
        <v>683</v>
      </c>
      <c r="C50" s="114" t="s">
        <v>679</v>
      </c>
      <c r="D50" s="87" t="s">
        <v>684</v>
      </c>
      <c r="E50" s="87" t="s">
        <v>684</v>
      </c>
      <c r="F50" s="87" t="s">
        <v>685</v>
      </c>
      <c r="G50" s="87" t="s">
        <v>39</v>
      </c>
      <c r="H50" s="95">
        <v>207.8</v>
      </c>
      <c r="I50" s="88">
        <v>726.27</v>
      </c>
      <c r="J50" s="88">
        <v>1350.7</v>
      </c>
      <c r="K50" s="81">
        <f t="shared" si="1"/>
        <v>2076.9700000000003</v>
      </c>
      <c r="L50" s="87" t="s">
        <v>33</v>
      </c>
      <c r="M50" s="87" t="s">
        <v>41</v>
      </c>
      <c r="N50" s="86" t="s">
        <v>686</v>
      </c>
      <c r="O50" s="86" t="s">
        <v>14</v>
      </c>
      <c r="P50" s="87"/>
      <c r="Q50" s="87"/>
    </row>
    <row r="51" spans="1:17" ht="25.5" x14ac:dyDescent="0.2">
      <c r="A51" s="183">
        <v>45</v>
      </c>
      <c r="B51" s="108" t="s">
        <v>473</v>
      </c>
      <c r="C51" s="114" t="s">
        <v>687</v>
      </c>
      <c r="D51" s="87" t="s">
        <v>688</v>
      </c>
      <c r="E51" s="87" t="s">
        <v>688</v>
      </c>
      <c r="F51" s="87" t="s">
        <v>689</v>
      </c>
      <c r="G51" s="87" t="s">
        <v>39</v>
      </c>
      <c r="H51" s="95">
        <v>283.38</v>
      </c>
      <c r="I51" s="88">
        <v>681.99</v>
      </c>
      <c r="J51" s="88">
        <v>1841.98</v>
      </c>
      <c r="K51" s="81">
        <f t="shared" si="1"/>
        <v>2523.9700000000003</v>
      </c>
      <c r="L51" s="87" t="s">
        <v>40</v>
      </c>
      <c r="M51" s="87" t="s">
        <v>41</v>
      </c>
      <c r="N51" s="86" t="s">
        <v>690</v>
      </c>
      <c r="O51" s="86" t="s">
        <v>14</v>
      </c>
      <c r="P51" s="87"/>
      <c r="Q51" s="87"/>
    </row>
    <row r="52" spans="1:17" ht="63.75" x14ac:dyDescent="0.2">
      <c r="A52" s="183">
        <v>46</v>
      </c>
      <c r="B52" s="133" t="s">
        <v>691</v>
      </c>
      <c r="C52" s="134" t="s">
        <v>692</v>
      </c>
      <c r="D52" s="87" t="s">
        <v>693</v>
      </c>
      <c r="E52" s="87" t="s">
        <v>694</v>
      </c>
      <c r="F52" s="87" t="s">
        <v>694</v>
      </c>
      <c r="G52" s="87" t="s">
        <v>25</v>
      </c>
      <c r="H52" s="95">
        <v>6476.26</v>
      </c>
      <c r="I52" s="88">
        <v>35254.15</v>
      </c>
      <c r="J52" s="88">
        <v>42432.51</v>
      </c>
      <c r="K52" s="81">
        <f t="shared" si="1"/>
        <v>77686.66</v>
      </c>
      <c r="L52" s="87" t="s">
        <v>695</v>
      </c>
      <c r="M52" s="87" t="s">
        <v>55</v>
      </c>
      <c r="N52" s="154" t="s">
        <v>696</v>
      </c>
      <c r="O52" s="154" t="s">
        <v>14</v>
      </c>
      <c r="P52" s="87"/>
      <c r="Q52" s="87"/>
    </row>
    <row r="53" spans="1:17" ht="25.5" x14ac:dyDescent="0.2">
      <c r="A53" s="183">
        <v>47</v>
      </c>
      <c r="B53" s="135" t="s">
        <v>697</v>
      </c>
      <c r="C53" s="114" t="s">
        <v>698</v>
      </c>
      <c r="D53" s="87" t="s">
        <v>699</v>
      </c>
      <c r="E53" s="87" t="s">
        <v>699</v>
      </c>
      <c r="F53" s="87" t="s">
        <v>700</v>
      </c>
      <c r="G53" s="87" t="s">
        <v>701</v>
      </c>
      <c r="H53" s="95">
        <v>240</v>
      </c>
      <c r="I53" s="88">
        <v>0</v>
      </c>
      <c r="J53" s="88">
        <v>1560</v>
      </c>
      <c r="K53" s="81">
        <f t="shared" si="1"/>
        <v>1560</v>
      </c>
      <c r="L53" s="87" t="s">
        <v>20</v>
      </c>
      <c r="M53" s="87" t="s">
        <v>21</v>
      </c>
      <c r="N53" s="86" t="s">
        <v>702</v>
      </c>
      <c r="O53" s="86" t="s">
        <v>14</v>
      </c>
      <c r="P53" s="87"/>
      <c r="Q53" s="87"/>
    </row>
    <row r="54" spans="1:17" ht="25.5" x14ac:dyDescent="0.2">
      <c r="A54" s="183">
        <v>48</v>
      </c>
      <c r="B54" s="135" t="s">
        <v>703</v>
      </c>
      <c r="C54" s="114" t="s">
        <v>704</v>
      </c>
      <c r="D54" s="87" t="s">
        <v>705</v>
      </c>
      <c r="E54" s="87" t="s">
        <v>705</v>
      </c>
      <c r="F54" s="87" t="s">
        <v>706</v>
      </c>
      <c r="G54" s="87" t="s">
        <v>53</v>
      </c>
      <c r="H54" s="95">
        <v>11728.4</v>
      </c>
      <c r="I54" s="88">
        <v>56967.87</v>
      </c>
      <c r="J54" s="88">
        <v>76828.92</v>
      </c>
      <c r="K54" s="81">
        <f t="shared" si="1"/>
        <v>133796.79</v>
      </c>
      <c r="L54" s="87" t="s">
        <v>707</v>
      </c>
      <c r="M54" s="87" t="s">
        <v>55</v>
      </c>
      <c r="N54" s="86" t="s">
        <v>708</v>
      </c>
      <c r="O54" s="86" t="s">
        <v>14</v>
      </c>
      <c r="P54" s="87"/>
      <c r="Q54" s="87"/>
    </row>
    <row r="55" spans="1:17" ht="25.5" x14ac:dyDescent="0.2">
      <c r="A55" s="183">
        <v>49</v>
      </c>
      <c r="B55" s="135" t="s">
        <v>480</v>
      </c>
      <c r="C55" s="114" t="s">
        <v>709</v>
      </c>
      <c r="D55" s="87" t="s">
        <v>710</v>
      </c>
      <c r="E55" s="87" t="s">
        <v>711</v>
      </c>
      <c r="F55" s="87" t="s">
        <v>712</v>
      </c>
      <c r="G55" s="87" t="s">
        <v>47</v>
      </c>
      <c r="H55" s="95">
        <v>3764.3</v>
      </c>
      <c r="I55" s="88">
        <v>17806.71</v>
      </c>
      <c r="J55" s="88">
        <v>24582.48</v>
      </c>
      <c r="K55" s="81">
        <f t="shared" si="1"/>
        <v>42389.19</v>
      </c>
      <c r="L55" s="87" t="s">
        <v>394</v>
      </c>
      <c r="M55" s="87" t="s">
        <v>55</v>
      </c>
      <c r="N55" s="86" t="s">
        <v>713</v>
      </c>
      <c r="O55" s="86" t="s">
        <v>714</v>
      </c>
      <c r="P55" s="87"/>
      <c r="Q55" s="87"/>
    </row>
    <row r="56" spans="1:17" ht="25.5" x14ac:dyDescent="0.2">
      <c r="A56" s="183">
        <v>50</v>
      </c>
      <c r="B56" s="135" t="s">
        <v>556</v>
      </c>
      <c r="C56" s="114" t="s">
        <v>709</v>
      </c>
      <c r="D56" s="87" t="s">
        <v>715</v>
      </c>
      <c r="E56" s="87" t="s">
        <v>715</v>
      </c>
      <c r="F56" s="87" t="s">
        <v>113</v>
      </c>
      <c r="G56" s="87" t="s">
        <v>186</v>
      </c>
      <c r="H56" s="95">
        <v>260.39999999999998</v>
      </c>
      <c r="I56" s="88">
        <v>947.08</v>
      </c>
      <c r="J56" s="88">
        <v>1692.6</v>
      </c>
      <c r="K56" s="81">
        <f t="shared" si="1"/>
        <v>2639.68</v>
      </c>
      <c r="L56" s="87" t="s">
        <v>33</v>
      </c>
      <c r="M56" s="87" t="s">
        <v>41</v>
      </c>
      <c r="N56" s="86" t="s">
        <v>716</v>
      </c>
      <c r="O56" s="86" t="s">
        <v>14</v>
      </c>
      <c r="P56" s="87"/>
      <c r="Q56" s="87"/>
    </row>
    <row r="57" spans="1:17" ht="25.5" x14ac:dyDescent="0.2">
      <c r="A57" s="183">
        <v>51</v>
      </c>
      <c r="B57" s="135" t="s">
        <v>717</v>
      </c>
      <c r="C57" s="114" t="s">
        <v>718</v>
      </c>
      <c r="D57" s="87" t="s">
        <v>719</v>
      </c>
      <c r="E57" s="87" t="s">
        <v>719</v>
      </c>
      <c r="F57" s="87" t="s">
        <v>720</v>
      </c>
      <c r="G57" s="87" t="s">
        <v>186</v>
      </c>
      <c r="H57" s="95">
        <v>323.74</v>
      </c>
      <c r="I57" s="88">
        <v>894.31</v>
      </c>
      <c r="J57" s="88">
        <v>2104.33</v>
      </c>
      <c r="K57" s="81">
        <f t="shared" si="1"/>
        <v>2998.64</v>
      </c>
      <c r="L57" s="87" t="s">
        <v>40</v>
      </c>
      <c r="M57" s="87" t="s">
        <v>41</v>
      </c>
      <c r="N57" s="86" t="s">
        <v>721</v>
      </c>
      <c r="O57" s="86" t="s">
        <v>14</v>
      </c>
      <c r="P57" s="87"/>
      <c r="Q57" s="87"/>
    </row>
    <row r="58" spans="1:17" ht="25.5" x14ac:dyDescent="0.2">
      <c r="A58" s="183">
        <v>52</v>
      </c>
      <c r="B58" s="135" t="s">
        <v>683</v>
      </c>
      <c r="C58" s="114" t="s">
        <v>722</v>
      </c>
      <c r="D58" s="87" t="s">
        <v>723</v>
      </c>
      <c r="E58" s="87" t="s">
        <v>723</v>
      </c>
      <c r="F58" s="87" t="s">
        <v>724</v>
      </c>
      <c r="G58" s="87" t="s">
        <v>39</v>
      </c>
      <c r="H58" s="96">
        <v>373.38</v>
      </c>
      <c r="I58" s="88">
        <v>755.16</v>
      </c>
      <c r="J58" s="88">
        <v>2426.9699999999998</v>
      </c>
      <c r="K58" s="81">
        <f t="shared" si="1"/>
        <v>3182.1299999999997</v>
      </c>
      <c r="L58" s="87" t="s">
        <v>725</v>
      </c>
      <c r="M58" s="87" t="s">
        <v>41</v>
      </c>
      <c r="N58" s="86" t="s">
        <v>726</v>
      </c>
      <c r="O58" s="86" t="s">
        <v>14</v>
      </c>
      <c r="P58" s="87"/>
      <c r="Q58" s="87"/>
    </row>
    <row r="59" spans="1:17" ht="26.25" thickBot="1" x14ac:dyDescent="0.25">
      <c r="A59" s="183">
        <v>53</v>
      </c>
      <c r="B59" s="135" t="s">
        <v>727</v>
      </c>
      <c r="C59" s="114" t="s">
        <v>722</v>
      </c>
      <c r="D59" s="84" t="s">
        <v>728</v>
      </c>
      <c r="E59" s="84" t="s">
        <v>728</v>
      </c>
      <c r="F59" s="84" t="s">
        <v>729</v>
      </c>
      <c r="G59" s="87" t="s">
        <v>317</v>
      </c>
      <c r="H59" s="96">
        <v>2455.44</v>
      </c>
      <c r="I59" s="85">
        <v>0</v>
      </c>
      <c r="J59" s="85">
        <v>16960.38</v>
      </c>
      <c r="K59" s="81">
        <f t="shared" si="1"/>
        <v>16960.38</v>
      </c>
      <c r="L59" s="84" t="s">
        <v>40</v>
      </c>
      <c r="M59" s="84" t="s">
        <v>730</v>
      </c>
      <c r="N59" s="86" t="s">
        <v>731</v>
      </c>
      <c r="O59" s="86" t="s">
        <v>14</v>
      </c>
      <c r="P59" s="87"/>
      <c r="Q59" s="87"/>
    </row>
    <row r="60" spans="1:17" ht="77.25" thickBot="1" x14ac:dyDescent="0.25">
      <c r="A60" s="183">
        <v>54</v>
      </c>
      <c r="B60" s="90" t="s">
        <v>351</v>
      </c>
      <c r="C60" s="92" t="s">
        <v>745</v>
      </c>
      <c r="D60" s="84" t="s">
        <v>749</v>
      </c>
      <c r="E60" s="84" t="s">
        <v>591</v>
      </c>
      <c r="F60" s="84" t="s">
        <v>592</v>
      </c>
      <c r="G60" s="84" t="s">
        <v>39</v>
      </c>
      <c r="H60" s="95">
        <v>7359.53</v>
      </c>
      <c r="I60" s="85">
        <v>29031.65</v>
      </c>
      <c r="J60" s="85">
        <v>47836.95</v>
      </c>
      <c r="K60" s="81">
        <f t="shared" si="1"/>
        <v>76868.600000000006</v>
      </c>
      <c r="L60" s="84" t="s">
        <v>593</v>
      </c>
      <c r="M60" s="84" t="s">
        <v>55</v>
      </c>
      <c r="N60" s="89" t="s">
        <v>594</v>
      </c>
      <c r="O60" s="89" t="s">
        <v>14</v>
      </c>
      <c r="P60" s="64"/>
      <c r="Q60" s="75"/>
    </row>
    <row r="61" spans="1:17" ht="26.25" thickBot="1" x14ac:dyDescent="0.25">
      <c r="A61" s="183">
        <v>55</v>
      </c>
      <c r="B61" s="91" t="s">
        <v>80</v>
      </c>
      <c r="C61" s="114" t="s">
        <v>744</v>
      </c>
      <c r="D61" s="87" t="s">
        <v>595</v>
      </c>
      <c r="E61" s="87" t="s">
        <v>596</v>
      </c>
      <c r="F61" s="87" t="s">
        <v>597</v>
      </c>
      <c r="G61" s="87" t="s">
        <v>53</v>
      </c>
      <c r="H61" s="96">
        <v>9510.2999999999993</v>
      </c>
      <c r="I61" s="88">
        <v>52380.24</v>
      </c>
      <c r="J61" s="88">
        <v>62326.99</v>
      </c>
      <c r="K61" s="81">
        <f t="shared" si="1"/>
        <v>114707.23</v>
      </c>
      <c r="L61" s="87" t="s">
        <v>598</v>
      </c>
      <c r="M61" s="87" t="s">
        <v>55</v>
      </c>
      <c r="N61" s="86" t="s">
        <v>599</v>
      </c>
      <c r="O61" s="86" t="s">
        <v>14</v>
      </c>
      <c r="P61" s="64"/>
      <c r="Q61" s="75"/>
    </row>
    <row r="62" spans="1:17" ht="26.25" thickBot="1" x14ac:dyDescent="0.25">
      <c r="A62" s="183">
        <v>56</v>
      </c>
      <c r="B62" s="91" t="s">
        <v>651</v>
      </c>
      <c r="C62" s="114" t="s">
        <v>743</v>
      </c>
      <c r="D62" s="87" t="s">
        <v>600</v>
      </c>
      <c r="E62" s="87" t="s">
        <v>600</v>
      </c>
      <c r="F62" s="87" t="s">
        <v>601</v>
      </c>
      <c r="G62" s="87" t="s">
        <v>317</v>
      </c>
      <c r="H62" s="96">
        <v>3646.39</v>
      </c>
      <c r="I62" s="88">
        <v>0</v>
      </c>
      <c r="J62" s="88">
        <v>23701.53</v>
      </c>
      <c r="K62" s="81">
        <f t="shared" si="1"/>
        <v>23701.53</v>
      </c>
      <c r="L62" s="87" t="s">
        <v>40</v>
      </c>
      <c r="M62" s="87" t="s">
        <v>602</v>
      </c>
      <c r="N62" s="86" t="s">
        <v>603</v>
      </c>
      <c r="O62" s="86" t="s">
        <v>14</v>
      </c>
      <c r="P62" s="64"/>
      <c r="Q62" s="75"/>
    </row>
    <row r="63" spans="1:17" ht="26.25" thickBot="1" x14ac:dyDescent="0.25">
      <c r="A63" s="183">
        <v>57</v>
      </c>
      <c r="B63" s="91" t="s">
        <v>551</v>
      </c>
      <c r="C63" s="114" t="s">
        <v>742</v>
      </c>
      <c r="D63" s="87" t="s">
        <v>604</v>
      </c>
      <c r="E63" s="87" t="s">
        <v>604</v>
      </c>
      <c r="F63" s="87" t="s">
        <v>605</v>
      </c>
      <c r="G63" s="87" t="s">
        <v>321</v>
      </c>
      <c r="H63" s="97">
        <v>216</v>
      </c>
      <c r="I63" s="88">
        <v>804.96</v>
      </c>
      <c r="J63" s="88">
        <v>1406.73</v>
      </c>
      <c r="K63" s="81">
        <f t="shared" si="1"/>
        <v>2211.69</v>
      </c>
      <c r="L63" s="87" t="s">
        <v>33</v>
      </c>
      <c r="M63" s="87" t="s">
        <v>41</v>
      </c>
      <c r="N63" s="86" t="s">
        <v>606</v>
      </c>
      <c r="O63" s="86" t="s">
        <v>14</v>
      </c>
      <c r="P63" s="64"/>
      <c r="Q63" s="75"/>
    </row>
    <row r="64" spans="1:17" ht="26.25" thickBot="1" x14ac:dyDescent="0.25">
      <c r="A64" s="183">
        <v>58</v>
      </c>
      <c r="B64" s="91" t="s">
        <v>266</v>
      </c>
      <c r="C64" s="114" t="s">
        <v>697</v>
      </c>
      <c r="D64" s="87" t="s">
        <v>607</v>
      </c>
      <c r="E64" s="87" t="s">
        <v>608</v>
      </c>
      <c r="F64" s="87" t="s">
        <v>364</v>
      </c>
      <c r="G64" s="87" t="s">
        <v>47</v>
      </c>
      <c r="H64" s="96">
        <v>1782.7</v>
      </c>
      <c r="I64" s="88">
        <v>9655.9500000000007</v>
      </c>
      <c r="J64" s="88">
        <v>11630.2</v>
      </c>
      <c r="K64" s="81">
        <f t="shared" si="1"/>
        <v>21286.15</v>
      </c>
      <c r="L64" s="87" t="s">
        <v>495</v>
      </c>
      <c r="M64" s="87" t="s">
        <v>55</v>
      </c>
      <c r="N64" s="86" t="s">
        <v>609</v>
      </c>
      <c r="O64" s="86" t="s">
        <v>14</v>
      </c>
      <c r="P64" s="64"/>
      <c r="Q64" s="75"/>
    </row>
    <row r="65" spans="1:17" ht="26.25" thickBot="1" x14ac:dyDescent="0.25">
      <c r="A65" s="183">
        <v>59</v>
      </c>
      <c r="B65" s="91" t="s">
        <v>741</v>
      </c>
      <c r="C65" s="114" t="s">
        <v>740</v>
      </c>
      <c r="D65" s="87" t="s">
        <v>610</v>
      </c>
      <c r="E65" s="87" t="s">
        <v>610</v>
      </c>
      <c r="F65" s="87" t="s">
        <v>611</v>
      </c>
      <c r="G65" s="87" t="s">
        <v>186</v>
      </c>
      <c r="H65" s="97">
        <v>261.95999999999998</v>
      </c>
      <c r="I65" s="88">
        <v>436.97</v>
      </c>
      <c r="J65" s="88">
        <v>1702.74</v>
      </c>
      <c r="K65" s="81">
        <f t="shared" si="1"/>
        <v>2139.71</v>
      </c>
      <c r="L65" s="87" t="s">
        <v>33</v>
      </c>
      <c r="M65" s="87" t="s">
        <v>41</v>
      </c>
      <c r="N65" s="86" t="s">
        <v>612</v>
      </c>
      <c r="O65" s="86" t="s">
        <v>14</v>
      </c>
      <c r="P65" s="64"/>
      <c r="Q65" s="75"/>
    </row>
    <row r="66" spans="1:17" ht="26.25" thickBot="1" x14ac:dyDescent="0.25">
      <c r="A66" s="183">
        <v>60</v>
      </c>
      <c r="B66" s="91" t="s">
        <v>556</v>
      </c>
      <c r="C66" s="114" t="s">
        <v>739</v>
      </c>
      <c r="D66" s="87" t="s">
        <v>613</v>
      </c>
      <c r="E66" s="87" t="s">
        <v>613</v>
      </c>
      <c r="F66" s="87" t="s">
        <v>614</v>
      </c>
      <c r="G66" s="87" t="s">
        <v>95</v>
      </c>
      <c r="H66" s="97">
        <v>373.32</v>
      </c>
      <c r="I66" s="88">
        <v>994.3</v>
      </c>
      <c r="J66" s="88">
        <v>2426.58</v>
      </c>
      <c r="K66" s="81">
        <f t="shared" si="1"/>
        <v>3420.88</v>
      </c>
      <c r="L66" s="87" t="s">
        <v>437</v>
      </c>
      <c r="M66" s="87" t="s">
        <v>41</v>
      </c>
      <c r="N66" s="86" t="s">
        <v>615</v>
      </c>
      <c r="O66" s="86" t="s">
        <v>14</v>
      </c>
      <c r="P66" s="64"/>
      <c r="Q66" s="75"/>
    </row>
    <row r="67" spans="1:17" ht="26.25" thickBot="1" x14ac:dyDescent="0.25">
      <c r="A67" s="183">
        <v>61</v>
      </c>
      <c r="B67" s="91" t="s">
        <v>738</v>
      </c>
      <c r="C67" s="114" t="s">
        <v>737</v>
      </c>
      <c r="D67" s="87" t="s">
        <v>616</v>
      </c>
      <c r="E67" s="87" t="s">
        <v>616</v>
      </c>
      <c r="F67" s="87" t="s">
        <v>617</v>
      </c>
      <c r="G67" s="87" t="s">
        <v>65</v>
      </c>
      <c r="H67" s="97">
        <v>293.95</v>
      </c>
      <c r="I67" s="88">
        <v>749.57</v>
      </c>
      <c r="J67" s="88">
        <v>1910.68</v>
      </c>
      <c r="K67" s="81">
        <f t="shared" si="1"/>
        <v>2660.25</v>
      </c>
      <c r="L67" s="87" t="s">
        <v>437</v>
      </c>
      <c r="M67" s="87" t="s">
        <v>41</v>
      </c>
      <c r="N67" s="86" t="s">
        <v>618</v>
      </c>
      <c r="O67" s="86" t="s">
        <v>14</v>
      </c>
      <c r="P67" s="64"/>
      <c r="Q67" s="75"/>
    </row>
    <row r="68" spans="1:17" ht="192" thickBot="1" x14ac:dyDescent="0.25">
      <c r="A68" s="183">
        <v>62</v>
      </c>
      <c r="B68" s="93" t="s">
        <v>532</v>
      </c>
      <c r="C68" s="94" t="s">
        <v>736</v>
      </c>
      <c r="D68" s="84" t="s">
        <v>619</v>
      </c>
      <c r="E68" s="84" t="s">
        <v>620</v>
      </c>
      <c r="F68" s="84" t="s">
        <v>621</v>
      </c>
      <c r="G68" s="84" t="s">
        <v>39</v>
      </c>
      <c r="H68" s="95">
        <v>29723.05</v>
      </c>
      <c r="I68" s="85">
        <v>180148.9</v>
      </c>
      <c r="J68" s="85">
        <v>194280.8</v>
      </c>
      <c r="K68" s="145">
        <f t="shared" si="1"/>
        <v>374429.69999999995</v>
      </c>
      <c r="L68" s="84" t="s">
        <v>622</v>
      </c>
      <c r="M68" s="84" t="s">
        <v>313</v>
      </c>
      <c r="N68" s="89" t="s">
        <v>623</v>
      </c>
      <c r="O68" s="89" t="s">
        <v>14</v>
      </c>
      <c r="P68" s="64"/>
      <c r="Q68" s="75"/>
    </row>
    <row r="69" spans="1:17" ht="26.25" thickBot="1" x14ac:dyDescent="0.25">
      <c r="A69" s="183">
        <v>63</v>
      </c>
      <c r="B69" s="91" t="s">
        <v>587</v>
      </c>
      <c r="C69" s="114" t="s">
        <v>735</v>
      </c>
      <c r="D69" s="146" t="s">
        <v>811</v>
      </c>
      <c r="E69" s="87" t="s">
        <v>624</v>
      </c>
      <c r="F69" s="87" t="s">
        <v>624</v>
      </c>
      <c r="G69" s="87" t="s">
        <v>317</v>
      </c>
      <c r="H69" s="96">
        <v>1557.5</v>
      </c>
      <c r="I69" s="87" t="s">
        <v>127</v>
      </c>
      <c r="J69" s="87" t="s">
        <v>127</v>
      </c>
      <c r="K69" s="81" t="s">
        <v>127</v>
      </c>
      <c r="L69" s="87" t="s">
        <v>33</v>
      </c>
      <c r="M69" s="87" t="s">
        <v>625</v>
      </c>
      <c r="N69" s="86" t="s">
        <v>626</v>
      </c>
      <c r="O69" s="86" t="s">
        <v>14</v>
      </c>
      <c r="P69" s="64"/>
      <c r="Q69" s="75"/>
    </row>
    <row r="70" spans="1:17" ht="26.25" thickBot="1" x14ac:dyDescent="0.25">
      <c r="A70" s="183">
        <v>64</v>
      </c>
      <c r="B70" s="91" t="s">
        <v>275</v>
      </c>
      <c r="C70" s="114" t="s">
        <v>734</v>
      </c>
      <c r="D70" s="87" t="s">
        <v>627</v>
      </c>
      <c r="E70" s="87" t="s">
        <v>627</v>
      </c>
      <c r="F70" s="87" t="s">
        <v>567</v>
      </c>
      <c r="G70" s="87" t="s">
        <v>317</v>
      </c>
      <c r="H70" s="97">
        <v>336</v>
      </c>
      <c r="I70" s="88">
        <v>911.9</v>
      </c>
      <c r="J70" s="88">
        <v>2184</v>
      </c>
      <c r="K70" s="81">
        <v>3095.9</v>
      </c>
      <c r="L70" s="87" t="s">
        <v>322</v>
      </c>
      <c r="M70" s="87" t="s">
        <v>41</v>
      </c>
      <c r="N70" s="86" t="s">
        <v>628</v>
      </c>
      <c r="O70" s="86" t="s">
        <v>14</v>
      </c>
      <c r="P70" s="64"/>
      <c r="Q70" s="75"/>
    </row>
    <row r="71" spans="1:17" ht="26.25" thickBot="1" x14ac:dyDescent="0.25">
      <c r="A71" s="183">
        <v>65</v>
      </c>
      <c r="B71" s="91" t="s">
        <v>494</v>
      </c>
      <c r="C71" s="114" t="s">
        <v>734</v>
      </c>
      <c r="D71" s="87" t="s">
        <v>629</v>
      </c>
      <c r="E71" s="87" t="s">
        <v>629</v>
      </c>
      <c r="F71" s="87" t="s">
        <v>256</v>
      </c>
      <c r="G71" s="87" t="s">
        <v>317</v>
      </c>
      <c r="H71" s="97">
        <v>357.23</v>
      </c>
      <c r="I71" s="88">
        <v>578.44000000000005</v>
      </c>
      <c r="J71" s="88">
        <v>2322</v>
      </c>
      <c r="K71" s="81">
        <v>2900.44</v>
      </c>
      <c r="L71" s="87" t="s">
        <v>40</v>
      </c>
      <c r="M71" s="87" t="s">
        <v>41</v>
      </c>
      <c r="N71" s="86" t="s">
        <v>630</v>
      </c>
      <c r="O71" s="86" t="s">
        <v>14</v>
      </c>
      <c r="P71" s="64"/>
      <c r="Q71" s="75"/>
    </row>
    <row r="72" spans="1:17" ht="26.25" thickBot="1" x14ac:dyDescent="0.25">
      <c r="A72" s="183">
        <v>66</v>
      </c>
      <c r="B72" s="136" t="s">
        <v>476</v>
      </c>
      <c r="C72" s="114" t="s">
        <v>733</v>
      </c>
      <c r="D72" s="87" t="s">
        <v>631</v>
      </c>
      <c r="E72" s="87" t="s">
        <v>631</v>
      </c>
      <c r="F72" s="87" t="s">
        <v>632</v>
      </c>
      <c r="G72" s="87" t="s">
        <v>317</v>
      </c>
      <c r="H72" s="97">
        <v>195.64</v>
      </c>
      <c r="I72" s="88">
        <v>650.29</v>
      </c>
      <c r="J72" s="88">
        <v>1271.6600000000001</v>
      </c>
      <c r="K72" s="81">
        <v>1921.95</v>
      </c>
      <c r="L72" s="87" t="s">
        <v>322</v>
      </c>
      <c r="M72" s="87" t="s">
        <v>41</v>
      </c>
      <c r="N72" s="86" t="s">
        <v>633</v>
      </c>
      <c r="O72" s="86" t="s">
        <v>14</v>
      </c>
      <c r="P72" s="64"/>
      <c r="Q72" s="75"/>
    </row>
    <row r="73" spans="1:17" ht="25.5" x14ac:dyDescent="0.2">
      <c r="A73" s="183">
        <v>67</v>
      </c>
      <c r="B73" s="137" t="s">
        <v>489</v>
      </c>
      <c r="C73" s="114" t="s">
        <v>501</v>
      </c>
      <c r="D73" s="78" t="s">
        <v>502</v>
      </c>
      <c r="E73" s="78" t="s">
        <v>502</v>
      </c>
      <c r="F73" s="78" t="s">
        <v>503</v>
      </c>
      <c r="G73" s="78" t="s">
        <v>186</v>
      </c>
      <c r="H73" s="79" t="s">
        <v>590</v>
      </c>
      <c r="I73" s="80">
        <v>985.28</v>
      </c>
      <c r="J73" s="80">
        <v>2775.89</v>
      </c>
      <c r="K73" s="81">
        <f t="shared" ref="K73:K78" si="2">SUM(I73+J73)</f>
        <v>3761.17</v>
      </c>
      <c r="L73" s="82" t="s">
        <v>40</v>
      </c>
      <c r="M73" s="82" t="s">
        <v>41</v>
      </c>
      <c r="N73" s="83" t="str">
        <f>HYPERLINK("https://drive.google.com/open?id=1MEbxAcdxnxM4o1GQ4b-L47Jip-yqu3Ka","Leja dokumenti 05-351/02-0192972/18")</f>
        <v>Leja dokumenti 05-351/02-0192972/18</v>
      </c>
      <c r="O73" s="83" t="str">
        <f>HYPERLINK("https://drive.google.com/open?id=1IE90P9UOIEBZNagQUzpWD2SrGQOKglxs","Situacioni")</f>
        <v>Situacioni</v>
      </c>
    </row>
    <row r="74" spans="1:17" ht="25.5" x14ac:dyDescent="0.2">
      <c r="A74" s="183">
        <v>68</v>
      </c>
      <c r="B74" s="138" t="s">
        <v>504</v>
      </c>
      <c r="C74" s="114" t="s">
        <v>501</v>
      </c>
      <c r="D74" s="30" t="s">
        <v>505</v>
      </c>
      <c r="E74" s="30" t="s">
        <v>505</v>
      </c>
      <c r="F74" s="30" t="s">
        <v>506</v>
      </c>
      <c r="G74" s="29" t="s">
        <v>425</v>
      </c>
      <c r="H74" s="49">
        <v>199.86</v>
      </c>
      <c r="I74" s="50">
        <v>702.36</v>
      </c>
      <c r="J74" s="50">
        <v>1299.0899999999999</v>
      </c>
      <c r="K74" s="45">
        <f t="shared" si="2"/>
        <v>2001.4499999999998</v>
      </c>
      <c r="L74" s="30" t="s">
        <v>336</v>
      </c>
      <c r="M74" s="30" t="s">
        <v>41</v>
      </c>
      <c r="N74" s="51" t="str">
        <f>HYPERLINK("https://drive.google.com/open?id=1MJ6R_9PTlB4GPEnMJJOVHgNZOCxcH5pi","Leja dokumenti 05-351/02-0186768/18")</f>
        <v>Leja dokumenti 05-351/02-0186768/18</v>
      </c>
      <c r="O74" s="51" t="str">
        <f>HYPERLINK("https://drive.google.com/open?id=1HXiI-dS3A9DtFLUzUDwFDc2zUKyBOgp7","Situacioni")</f>
        <v>Situacioni</v>
      </c>
    </row>
    <row r="75" spans="1:17" ht="25.5" x14ac:dyDescent="0.2">
      <c r="A75" s="183">
        <v>69</v>
      </c>
      <c r="B75" s="138" t="s">
        <v>352</v>
      </c>
      <c r="C75" s="114" t="s">
        <v>501</v>
      </c>
      <c r="D75" s="30" t="s">
        <v>507</v>
      </c>
      <c r="E75" s="30" t="s">
        <v>507</v>
      </c>
      <c r="F75" s="30" t="s">
        <v>508</v>
      </c>
      <c r="G75" s="29" t="s">
        <v>317</v>
      </c>
      <c r="H75" s="49">
        <v>220.38</v>
      </c>
      <c r="I75" s="50">
        <v>786.91</v>
      </c>
      <c r="J75" s="50">
        <v>1432.47</v>
      </c>
      <c r="K75" s="45">
        <f t="shared" si="2"/>
        <v>2219.38</v>
      </c>
      <c r="L75" s="30" t="s">
        <v>33</v>
      </c>
      <c r="M75" s="30" t="s">
        <v>41</v>
      </c>
      <c r="N75" s="51" t="str">
        <f>HYPERLINK("https://drive.google.com/open?id=1lDQaHlsrkKsKqMWWyB53WgteLt-dThGp","Leja dokumenti 05-351/02-0139867/18")</f>
        <v>Leja dokumenti 05-351/02-0139867/18</v>
      </c>
      <c r="O75" s="51" t="str">
        <f>HYPERLINK("https://drive.google.com/open?id=1HHDK3Ndx0J8CpUQJrhwviQnrDVTQ77Al","Situacioni")</f>
        <v>Situacioni</v>
      </c>
    </row>
    <row r="76" spans="1:17" ht="25.5" x14ac:dyDescent="0.2">
      <c r="A76" s="183">
        <v>70</v>
      </c>
      <c r="B76" s="138" t="s">
        <v>281</v>
      </c>
      <c r="C76" s="114" t="s">
        <v>509</v>
      </c>
      <c r="D76" s="30" t="s">
        <v>510</v>
      </c>
      <c r="E76" s="30" t="s">
        <v>510</v>
      </c>
      <c r="F76" s="30" t="s">
        <v>511</v>
      </c>
      <c r="G76" s="29" t="s">
        <v>233</v>
      </c>
      <c r="H76" s="49">
        <v>249.3</v>
      </c>
      <c r="I76" s="50">
        <v>194.52</v>
      </c>
      <c r="J76" s="50">
        <v>1620.46</v>
      </c>
      <c r="K76" s="45">
        <f t="shared" si="2"/>
        <v>1814.98</v>
      </c>
      <c r="L76" s="30" t="s">
        <v>40</v>
      </c>
      <c r="M76" s="30" t="s">
        <v>41</v>
      </c>
      <c r="N76" s="51" t="str">
        <f>HYPERLINK("https://drive.google.com/open?id=199Q-6BA5qKcgFTiGHjNKnIYMI3YeqlMN","Leja dokumenti 05-351/02-0091782/18")</f>
        <v>Leja dokumenti 05-351/02-0091782/18</v>
      </c>
      <c r="O76" s="51" t="str">
        <f>HYPERLINK("https://drive.google.com/open?id=1QXvGST9-F8D0Gu_d1LGylAegn26rV_T_","Situacioni")</f>
        <v>Situacioni</v>
      </c>
    </row>
    <row r="77" spans="1:17" ht="25.5" x14ac:dyDescent="0.2">
      <c r="A77" s="183">
        <v>71</v>
      </c>
      <c r="B77" s="138" t="s">
        <v>270</v>
      </c>
      <c r="C77" s="114" t="s">
        <v>512</v>
      </c>
      <c r="D77" s="29" t="s">
        <v>513</v>
      </c>
      <c r="E77" s="30" t="s">
        <v>513</v>
      </c>
      <c r="F77" s="30" t="s">
        <v>514</v>
      </c>
      <c r="G77" s="29" t="s">
        <v>103</v>
      </c>
      <c r="H77" s="49">
        <v>227.58</v>
      </c>
      <c r="I77" s="50">
        <v>623.39</v>
      </c>
      <c r="J77" s="50">
        <v>1479.27</v>
      </c>
      <c r="K77" s="45">
        <f t="shared" si="2"/>
        <v>2102.66</v>
      </c>
      <c r="L77" s="30" t="s">
        <v>187</v>
      </c>
      <c r="M77" s="30" t="s">
        <v>41</v>
      </c>
      <c r="N77" s="51" t="str">
        <f>HYPERLINK("https://drive.google.com/open?id=1siS-oFwb13pS0KT_ZAudsZeL_vp7eXoR","Leja dokumenti 05-351/02*011566/18")</f>
        <v>Leja dokumenti 05-351/02*011566/18</v>
      </c>
      <c r="O77" s="51" t="str">
        <f>HYPERLINK("https://drive.google.com/open?id=1SHWkw61hwOr54qaxTG2QpZlySOddWrBT","Situacioni")</f>
        <v>Situacioni</v>
      </c>
    </row>
    <row r="78" spans="1:17" ht="25.5" x14ac:dyDescent="0.2">
      <c r="A78" s="183">
        <v>72</v>
      </c>
      <c r="B78" s="138" t="s">
        <v>145</v>
      </c>
      <c r="C78" s="114" t="s">
        <v>515</v>
      </c>
      <c r="D78" s="30" t="s">
        <v>516</v>
      </c>
      <c r="E78" s="30" t="s">
        <v>517</v>
      </c>
      <c r="F78" s="30" t="s">
        <v>518</v>
      </c>
      <c r="G78" s="29" t="s">
        <v>53</v>
      </c>
      <c r="H78" s="49">
        <v>7370.4</v>
      </c>
      <c r="I78" s="50">
        <v>41550.25</v>
      </c>
      <c r="J78" s="50">
        <v>48840.09</v>
      </c>
      <c r="K78" s="45">
        <f t="shared" si="2"/>
        <v>90390.34</v>
      </c>
      <c r="L78" s="30" t="s">
        <v>519</v>
      </c>
      <c r="M78" s="30" t="s">
        <v>313</v>
      </c>
      <c r="N78" s="100" t="str">
        <f>HYPERLINK("https://drive.google.com/open?id=1nZp9W2gwOeFYuF6_XW5lmd9cgGA3fLUn","Leja dokumenti 05-351/02-0207918")</f>
        <v>Leja dokumenti 05-351/02-0207918</v>
      </c>
      <c r="O78" s="100" t="str">
        <f>HYPERLINK("https://drive.google.com/open?id=1l6n1Mf2BDHzwRC6asMAvWSkvZIUTBZ15","Situacioni")</f>
        <v>Situacioni</v>
      </c>
    </row>
    <row r="79" spans="1:17" ht="25.5" x14ac:dyDescent="0.2">
      <c r="A79" s="183">
        <v>73</v>
      </c>
      <c r="B79" s="138" t="s">
        <v>520</v>
      </c>
      <c r="C79" s="114" t="s">
        <v>521</v>
      </c>
      <c r="D79" s="30" t="s">
        <v>522</v>
      </c>
      <c r="E79" s="30" t="s">
        <v>522</v>
      </c>
      <c r="F79" s="30" t="s">
        <v>523</v>
      </c>
      <c r="G79" s="29" t="s">
        <v>524</v>
      </c>
      <c r="H79" s="49">
        <v>144</v>
      </c>
      <c r="I79" s="50" t="s">
        <v>127</v>
      </c>
      <c r="J79" s="50" t="s">
        <v>127</v>
      </c>
      <c r="K79" s="45" t="s">
        <v>127</v>
      </c>
      <c r="L79" s="30" t="s">
        <v>20</v>
      </c>
      <c r="M79" s="99" t="s">
        <v>21</v>
      </c>
      <c r="N79" s="101" t="s">
        <v>635</v>
      </c>
      <c r="O79" s="86" t="s">
        <v>14</v>
      </c>
    </row>
    <row r="80" spans="1:17" ht="25.5" x14ac:dyDescent="0.2">
      <c r="A80" s="183">
        <v>74</v>
      </c>
      <c r="B80" s="139" t="s">
        <v>525</v>
      </c>
      <c r="C80" s="114" t="s">
        <v>521</v>
      </c>
      <c r="D80" s="29" t="s">
        <v>526</v>
      </c>
      <c r="E80" s="29" t="s">
        <v>527</v>
      </c>
      <c r="F80" s="29" t="s">
        <v>528</v>
      </c>
      <c r="G80" s="29" t="s">
        <v>39</v>
      </c>
      <c r="H80" s="49">
        <v>8783.9</v>
      </c>
      <c r="I80" s="50">
        <v>36868.46</v>
      </c>
      <c r="J80" s="50">
        <v>57337.83</v>
      </c>
      <c r="K80" s="45">
        <f t="shared" ref="K80:K98" si="3">SUM(I80+J80)</f>
        <v>94206.290000000008</v>
      </c>
      <c r="L80" s="30" t="s">
        <v>359</v>
      </c>
      <c r="M80" s="99" t="s">
        <v>55</v>
      </c>
      <c r="N80" s="86" t="s">
        <v>636</v>
      </c>
      <c r="O80" s="86" t="s">
        <v>14</v>
      </c>
    </row>
    <row r="81" spans="1:15" ht="25.5" x14ac:dyDescent="0.2">
      <c r="A81" s="183">
        <v>75</v>
      </c>
      <c r="B81" s="138" t="s">
        <v>529</v>
      </c>
      <c r="C81" s="114" t="s">
        <v>521</v>
      </c>
      <c r="D81" s="30" t="s">
        <v>530</v>
      </c>
      <c r="E81" s="30" t="s">
        <v>530</v>
      </c>
      <c r="F81" s="30" t="s">
        <v>531</v>
      </c>
      <c r="G81" s="29" t="s">
        <v>103</v>
      </c>
      <c r="H81" s="49">
        <v>1271.71</v>
      </c>
      <c r="I81" s="50">
        <v>7038.43</v>
      </c>
      <c r="J81" s="50">
        <v>8946.6</v>
      </c>
      <c r="K81" s="45">
        <f t="shared" si="3"/>
        <v>15985.03</v>
      </c>
      <c r="L81" s="30" t="s">
        <v>187</v>
      </c>
      <c r="M81" s="99" t="s">
        <v>41</v>
      </c>
      <c r="N81" s="101" t="s">
        <v>637</v>
      </c>
      <c r="O81" s="86" t="s">
        <v>14</v>
      </c>
    </row>
    <row r="82" spans="1:15" ht="25.5" x14ac:dyDescent="0.2">
      <c r="A82" s="183">
        <v>76</v>
      </c>
      <c r="B82" s="138" t="s">
        <v>532</v>
      </c>
      <c r="C82" s="114" t="s">
        <v>521</v>
      </c>
      <c r="D82" s="30" t="s">
        <v>533</v>
      </c>
      <c r="E82" s="30" t="s">
        <v>533</v>
      </c>
      <c r="F82" s="30" t="s">
        <v>534</v>
      </c>
      <c r="G82" s="29" t="s">
        <v>186</v>
      </c>
      <c r="H82" s="49">
        <v>624</v>
      </c>
      <c r="I82" s="50">
        <v>1079.22</v>
      </c>
      <c r="J82" s="50">
        <v>4056</v>
      </c>
      <c r="K82" s="45">
        <f t="shared" si="3"/>
        <v>5135.22</v>
      </c>
      <c r="L82" s="30" t="s">
        <v>33</v>
      </c>
      <c r="M82" s="99" t="s">
        <v>67</v>
      </c>
      <c r="N82" s="86" t="s">
        <v>638</v>
      </c>
      <c r="O82" s="86" t="s">
        <v>14</v>
      </c>
    </row>
    <row r="83" spans="1:15" ht="25.5" x14ac:dyDescent="0.2">
      <c r="A83" s="183">
        <v>77</v>
      </c>
      <c r="B83" s="140" t="s">
        <v>535</v>
      </c>
      <c r="C83" s="114" t="s">
        <v>521</v>
      </c>
      <c r="D83" s="30" t="s">
        <v>536</v>
      </c>
      <c r="E83" s="30" t="s">
        <v>536</v>
      </c>
      <c r="F83" s="30" t="s">
        <v>537</v>
      </c>
      <c r="G83" s="29" t="s">
        <v>65</v>
      </c>
      <c r="H83" s="49">
        <v>343.39</v>
      </c>
      <c r="I83" s="50">
        <v>939.03</v>
      </c>
      <c r="J83" s="50">
        <v>2232.0300000000002</v>
      </c>
      <c r="K83" s="45">
        <f t="shared" si="3"/>
        <v>3171.0600000000004</v>
      </c>
      <c r="L83" s="30" t="s">
        <v>187</v>
      </c>
      <c r="M83" s="99" t="s">
        <v>41</v>
      </c>
      <c r="N83" s="86" t="str">
        <f>HYPERLINK("https://drive.google.com/open?id=1E85YbhVrql_pH_ij7rwUwB3TfPpX5gT7","Leja dokumenti 05-351/02-0169060/18")</f>
        <v>Leja dokumenti 05-351/02-0169060/18</v>
      </c>
      <c r="O83" s="86" t="str">
        <f>HYPERLINK("https://drive.google.com/open?id=19uIKbNMt7abipkkR8NnC4kpaPS1-_Wm_","Situacioni")</f>
        <v>Situacioni</v>
      </c>
    </row>
    <row r="84" spans="1:15" ht="25.5" x14ac:dyDescent="0.2">
      <c r="A84" s="183">
        <v>78</v>
      </c>
      <c r="B84" s="138" t="s">
        <v>538</v>
      </c>
      <c r="C84" s="114">
        <v>43335</v>
      </c>
      <c r="D84" s="30" t="s">
        <v>539</v>
      </c>
      <c r="E84" s="30" t="s">
        <v>539</v>
      </c>
      <c r="F84" s="30" t="s">
        <v>540</v>
      </c>
      <c r="G84" s="29" t="s">
        <v>175</v>
      </c>
      <c r="H84" s="49">
        <v>12898.53</v>
      </c>
      <c r="I84" s="50">
        <v>0</v>
      </c>
      <c r="J84" s="50">
        <v>87732.59</v>
      </c>
      <c r="K84" s="45">
        <f t="shared" si="3"/>
        <v>87732.59</v>
      </c>
      <c r="L84" s="30" t="s">
        <v>541</v>
      </c>
      <c r="M84" s="99" t="s">
        <v>34</v>
      </c>
      <c r="N84" s="86" t="s">
        <v>639</v>
      </c>
      <c r="O84" s="86" t="s">
        <v>14</v>
      </c>
    </row>
    <row r="85" spans="1:15" ht="76.5" x14ac:dyDescent="0.2">
      <c r="A85" s="183">
        <v>79</v>
      </c>
      <c r="B85" s="109" t="s">
        <v>263</v>
      </c>
      <c r="C85" s="110" t="s">
        <v>542</v>
      </c>
      <c r="D85" s="30" t="s">
        <v>543</v>
      </c>
      <c r="E85" s="30" t="s">
        <v>544</v>
      </c>
      <c r="F85" s="30" t="s">
        <v>545</v>
      </c>
      <c r="G85" s="32" t="s">
        <v>373</v>
      </c>
      <c r="H85" s="147">
        <v>5415.2</v>
      </c>
      <c r="I85" s="148">
        <v>29068.74</v>
      </c>
      <c r="J85" s="148">
        <v>35753.74</v>
      </c>
      <c r="K85" s="142">
        <f t="shared" si="3"/>
        <v>64822.479999999996</v>
      </c>
      <c r="L85" s="30" t="s">
        <v>546</v>
      </c>
      <c r="M85" s="99" t="s">
        <v>55</v>
      </c>
      <c r="N85" s="154" t="str">
        <f>HYPERLINK("https://drive.google.com/open?id=1WT_nD7WAsEzXfDMLeE3QAyWAGg5_KqHH","Leja dokumenti 05-351/02-0130625/18")</f>
        <v>Leja dokumenti 05-351/02-0130625/18</v>
      </c>
      <c r="O85" s="154" t="str">
        <f>HYPERLINK("https://drive.google.com/open?id=1MFWtZBHt-VuGTDBob1uFwflU42Zd7Hm2","Situacioni")</f>
        <v>Situacioni</v>
      </c>
    </row>
    <row r="86" spans="1:15" ht="25.5" x14ac:dyDescent="0.2">
      <c r="A86" s="183">
        <v>80</v>
      </c>
      <c r="B86" s="141" t="s">
        <v>547</v>
      </c>
      <c r="C86" s="114" t="s">
        <v>542</v>
      </c>
      <c r="D86" s="30" t="s">
        <v>548</v>
      </c>
      <c r="E86" s="30" t="s">
        <v>548</v>
      </c>
      <c r="F86" s="30" t="s">
        <v>549</v>
      </c>
      <c r="G86" s="29" t="s">
        <v>47</v>
      </c>
      <c r="H86" s="49">
        <v>327.18</v>
      </c>
      <c r="I86" s="50">
        <v>741.13</v>
      </c>
      <c r="J86" s="50">
        <v>2126.66</v>
      </c>
      <c r="K86" s="45">
        <f t="shared" si="3"/>
        <v>2867.79</v>
      </c>
      <c r="L86" s="30" t="s">
        <v>40</v>
      </c>
      <c r="M86" s="99" t="s">
        <v>67</v>
      </c>
      <c r="N86" s="86" t="s">
        <v>640</v>
      </c>
      <c r="O86" s="86" t="s">
        <v>14</v>
      </c>
    </row>
    <row r="87" spans="1:15" ht="25.5" x14ac:dyDescent="0.2">
      <c r="A87" s="183">
        <v>81</v>
      </c>
      <c r="B87" s="138" t="s">
        <v>550</v>
      </c>
      <c r="C87" s="114" t="s">
        <v>551</v>
      </c>
      <c r="D87" s="30" t="s">
        <v>552</v>
      </c>
      <c r="E87" s="30" t="s">
        <v>552</v>
      </c>
      <c r="F87" s="31" t="s">
        <v>553</v>
      </c>
      <c r="G87" s="29" t="s">
        <v>186</v>
      </c>
      <c r="H87" s="49">
        <v>196.59</v>
      </c>
      <c r="I87" s="50">
        <v>352.26</v>
      </c>
      <c r="J87" s="50">
        <v>1277.8399999999999</v>
      </c>
      <c r="K87" s="45">
        <f t="shared" si="3"/>
        <v>1630.1</v>
      </c>
      <c r="L87" s="30" t="s">
        <v>33</v>
      </c>
      <c r="M87" s="99" t="s">
        <v>41</v>
      </c>
      <c r="N87" s="86" t="s">
        <v>641</v>
      </c>
      <c r="O87" s="86" t="s">
        <v>14</v>
      </c>
    </row>
    <row r="88" spans="1:15" ht="25.5" x14ac:dyDescent="0.2">
      <c r="A88" s="183">
        <v>82</v>
      </c>
      <c r="B88" s="139" t="s">
        <v>303</v>
      </c>
      <c r="C88" s="114" t="s">
        <v>551</v>
      </c>
      <c r="D88" s="29" t="s">
        <v>554</v>
      </c>
      <c r="E88" s="29" t="s">
        <v>554</v>
      </c>
      <c r="F88" s="29" t="s">
        <v>555</v>
      </c>
      <c r="G88" s="29" t="s">
        <v>317</v>
      </c>
      <c r="H88" s="49">
        <v>197.33</v>
      </c>
      <c r="I88" s="50">
        <v>423.76</v>
      </c>
      <c r="J88" s="50">
        <v>1508</v>
      </c>
      <c r="K88" s="45">
        <f t="shared" si="3"/>
        <v>1931.76</v>
      </c>
      <c r="L88" s="30" t="s">
        <v>230</v>
      </c>
      <c r="M88" s="30" t="s">
        <v>67</v>
      </c>
      <c r="N88" s="83" t="str">
        <f>HYPERLINK("https://drive.google.com/open?id=1qor0qCyEb_r_jdDfJT3U3oKt98AgIHN3","Leja dokumenti 05-351/02-0152232/18")</f>
        <v>Leja dokumenti 05-351/02-0152232/18</v>
      </c>
      <c r="O88" s="83" t="str">
        <f>HYPERLINK("https://drive.google.com/open?id=1GIU0RiWSKK6jUHqRdMANdvDquG8KRGdA","Situacioni")</f>
        <v>Situacioni</v>
      </c>
    </row>
    <row r="89" spans="1:15" ht="63.75" x14ac:dyDescent="0.2">
      <c r="A89" s="183">
        <v>83</v>
      </c>
      <c r="B89" s="109" t="s">
        <v>494</v>
      </c>
      <c r="C89" s="110" t="s">
        <v>556</v>
      </c>
      <c r="D89" s="29" t="s">
        <v>557</v>
      </c>
      <c r="E89" s="30" t="s">
        <v>558</v>
      </c>
      <c r="F89" s="30" t="s">
        <v>559</v>
      </c>
      <c r="G89" s="29" t="s">
        <v>25</v>
      </c>
      <c r="H89" s="147">
        <v>11417.85</v>
      </c>
      <c r="I89" s="148">
        <v>61456.86</v>
      </c>
      <c r="J89" s="148">
        <v>74479.73</v>
      </c>
      <c r="K89" s="142">
        <f t="shared" si="3"/>
        <v>135936.59</v>
      </c>
      <c r="L89" s="30" t="s">
        <v>560</v>
      </c>
      <c r="M89" s="30" t="s">
        <v>55</v>
      </c>
      <c r="N89" s="73" t="str">
        <f>HYPERLINK("https://drive.google.com/open?id=1UMgKAUoIw96b2CLWM7r2s8vai-kaGIKK","Leja dokumenti 05-351/02-0108413/18")</f>
        <v>Leja dokumenti 05-351/02-0108413/18</v>
      </c>
      <c r="O89" s="73" t="str">
        <f>HYPERLINK("https://drive.google.com/open?id=1ccEL6jdKZdxfVpfAxUZ5AAZgOHkN59Bs","Situacioni")</f>
        <v>Situacioni</v>
      </c>
    </row>
    <row r="90" spans="1:15" ht="25.5" x14ac:dyDescent="0.2">
      <c r="A90" s="183">
        <v>84</v>
      </c>
      <c r="B90" s="138" t="s">
        <v>318</v>
      </c>
      <c r="C90" s="114" t="s">
        <v>556</v>
      </c>
      <c r="D90" s="30" t="s">
        <v>561</v>
      </c>
      <c r="E90" s="30" t="s">
        <v>561</v>
      </c>
      <c r="F90" s="30" t="s">
        <v>562</v>
      </c>
      <c r="G90" s="29" t="s">
        <v>186</v>
      </c>
      <c r="H90" s="49">
        <v>720</v>
      </c>
      <c r="I90" s="50">
        <v>3156.23</v>
      </c>
      <c r="J90" s="50">
        <v>4680</v>
      </c>
      <c r="K90" s="45">
        <f t="shared" si="3"/>
        <v>7836.23</v>
      </c>
      <c r="L90" s="30" t="s">
        <v>33</v>
      </c>
      <c r="M90" s="30" t="s">
        <v>67</v>
      </c>
      <c r="N90" s="51" t="str">
        <f>HYPERLINK("https://drive.google.com/open?id=1ZB9OYgEi2wQaO2TbvZkEa1IwbAEm1LL3","Leja dokumenti 05-351/02-0150743/18")</f>
        <v>Leja dokumenti 05-351/02-0150743/18</v>
      </c>
      <c r="O90" s="51" t="str">
        <f>HYPERLINK("https://drive.google.com/open?id=1a8bLCslvCZpIC13J4N2KkQj2McdaCOHg","Situacioni")</f>
        <v>Situacioni</v>
      </c>
    </row>
    <row r="91" spans="1:15" ht="25.5" x14ac:dyDescent="0.2">
      <c r="A91" s="183">
        <v>85</v>
      </c>
      <c r="B91" s="138" t="s">
        <v>345</v>
      </c>
      <c r="C91" s="114" t="s">
        <v>563</v>
      </c>
      <c r="D91" s="30" t="s">
        <v>564</v>
      </c>
      <c r="E91" s="30" t="s">
        <v>564</v>
      </c>
      <c r="F91" s="30" t="s">
        <v>534</v>
      </c>
      <c r="G91" s="29" t="s">
        <v>385</v>
      </c>
      <c r="H91" s="49">
        <v>394</v>
      </c>
      <c r="I91" s="50">
        <v>1039.42</v>
      </c>
      <c r="J91" s="50">
        <v>2561</v>
      </c>
      <c r="K91" s="45">
        <f t="shared" si="3"/>
        <v>3600.42</v>
      </c>
      <c r="L91" s="30" t="s">
        <v>437</v>
      </c>
      <c r="M91" s="30" t="s">
        <v>41</v>
      </c>
      <c r="N91" s="100" t="str">
        <f>HYPERLINK("https://drive.google.com/open?id=1o0BcCkBmEYWUWlwM8MWpuYALLWDcvhkQ","Leja dokumenti 05-351/02-0141736/18")</f>
        <v>Leja dokumenti 05-351/02-0141736/18</v>
      </c>
      <c r="O91" s="100" t="str">
        <f>HYPERLINK("https://drive.google.com/open?id=1JAEP7RgmlKv0jfrlqk4P4c_9vbKcgGwT","Situacioni")</f>
        <v>Situacioni</v>
      </c>
    </row>
    <row r="92" spans="1:15" ht="25.5" x14ac:dyDescent="0.2">
      <c r="A92" s="183">
        <v>86</v>
      </c>
      <c r="B92" s="138" t="s">
        <v>352</v>
      </c>
      <c r="C92" s="114" t="s">
        <v>565</v>
      </c>
      <c r="D92" s="30" t="s">
        <v>566</v>
      </c>
      <c r="E92" s="30" t="s">
        <v>566</v>
      </c>
      <c r="F92" s="30" t="s">
        <v>567</v>
      </c>
      <c r="G92" s="29" t="s">
        <v>47</v>
      </c>
      <c r="H92" s="49">
        <v>356.21</v>
      </c>
      <c r="I92" s="50">
        <v>926.61</v>
      </c>
      <c r="J92" s="50">
        <v>2315.37</v>
      </c>
      <c r="K92" s="45">
        <f t="shared" si="3"/>
        <v>3241.98</v>
      </c>
      <c r="L92" s="30" t="s">
        <v>40</v>
      </c>
      <c r="M92" s="99" t="s">
        <v>41</v>
      </c>
      <c r="N92" s="86" t="str">
        <f>HYPERLINK("https://drive.google.com/open?id=1FInVLKFKXftN-9X6_ev1y28oMjMuaQQs","Leja dokumenti 05-351/02-0139108/18")</f>
        <v>Leja dokumenti 05-351/02-0139108/18</v>
      </c>
      <c r="O92" s="86" t="str">
        <f>HYPERLINK("https://drive.google.com/open?id=1T7kg1QEog9yUlg-mhOZ-k7GdfzGe7QLC","Situacioni ")</f>
        <v xml:space="preserve">Situacioni </v>
      </c>
    </row>
    <row r="93" spans="1:15" ht="25.5" x14ac:dyDescent="0.2">
      <c r="A93" s="183">
        <v>87</v>
      </c>
      <c r="B93" s="138" t="s">
        <v>482</v>
      </c>
      <c r="C93" s="114" t="s">
        <v>568</v>
      </c>
      <c r="D93" s="30" t="s">
        <v>569</v>
      </c>
      <c r="E93" s="30" t="s">
        <v>569</v>
      </c>
      <c r="F93" s="30" t="s">
        <v>570</v>
      </c>
      <c r="G93" s="29" t="s">
        <v>385</v>
      </c>
      <c r="H93" s="49">
        <v>197.33</v>
      </c>
      <c r="I93" s="50">
        <v>692.84</v>
      </c>
      <c r="J93" s="50">
        <v>1282.6500000000001</v>
      </c>
      <c r="K93" s="45">
        <f t="shared" si="3"/>
        <v>1975.4900000000002</v>
      </c>
      <c r="L93" s="30" t="s">
        <v>20</v>
      </c>
      <c r="M93" s="99" t="s">
        <v>41</v>
      </c>
      <c r="N93" s="86" t="str">
        <f>HYPERLINK("https://drive.google.com/open?id=1z1vzaYTYwNFYgElAiOYXiBrUMPtCBL_v","Leja dokumenti 05-351/02-0131930/18")</f>
        <v>Leja dokumenti 05-351/02-0131930/18</v>
      </c>
      <c r="O93" s="86" t="str">
        <f>HYPERLINK("https://drive.google.com/open?id=1FCBGnvpCUQdAv3qQmsN45KgS9ZGltqly","Situacioni ")</f>
        <v xml:space="preserve">Situacioni </v>
      </c>
    </row>
    <row r="94" spans="1:15" ht="114.75" x14ac:dyDescent="0.2">
      <c r="A94" s="183">
        <v>88</v>
      </c>
      <c r="B94" s="109" t="s">
        <v>352</v>
      </c>
      <c r="C94" s="110" t="s">
        <v>571</v>
      </c>
      <c r="D94" s="30" t="s">
        <v>572</v>
      </c>
      <c r="E94" s="30" t="s">
        <v>573</v>
      </c>
      <c r="F94" s="30" t="s">
        <v>574</v>
      </c>
      <c r="G94" s="29" t="s">
        <v>119</v>
      </c>
      <c r="H94" s="147">
        <v>18895.009999999998</v>
      </c>
      <c r="I94" s="148">
        <v>186786.69</v>
      </c>
      <c r="J94" s="148">
        <v>223149.71</v>
      </c>
      <c r="K94" s="142">
        <f t="shared" si="3"/>
        <v>409936.4</v>
      </c>
      <c r="L94" s="30" t="s">
        <v>575</v>
      </c>
      <c r="M94" s="99" t="s">
        <v>313</v>
      </c>
      <c r="N94" s="154" t="s">
        <v>642</v>
      </c>
      <c r="O94" s="103" t="s">
        <v>14</v>
      </c>
    </row>
    <row r="95" spans="1:15" ht="25.5" x14ac:dyDescent="0.2">
      <c r="A95" s="183">
        <v>89</v>
      </c>
      <c r="B95" s="109" t="s">
        <v>29</v>
      </c>
      <c r="C95" s="114" t="s">
        <v>576</v>
      </c>
      <c r="D95" s="30" t="s">
        <v>577</v>
      </c>
      <c r="E95" s="30" t="s">
        <v>577</v>
      </c>
      <c r="F95" s="30" t="s">
        <v>578</v>
      </c>
      <c r="G95" s="29" t="s">
        <v>53</v>
      </c>
      <c r="H95" s="49">
        <v>179.83</v>
      </c>
      <c r="I95" s="50">
        <v>647.82000000000005</v>
      </c>
      <c r="J95" s="50">
        <v>1168.8900000000001</v>
      </c>
      <c r="K95" s="45">
        <f t="shared" si="3"/>
        <v>1816.71</v>
      </c>
      <c r="L95" s="30" t="s">
        <v>33</v>
      </c>
      <c r="M95" s="99" t="s">
        <v>41</v>
      </c>
      <c r="N95" s="86" t="s">
        <v>643</v>
      </c>
      <c r="O95" s="86" t="s">
        <v>14</v>
      </c>
    </row>
    <row r="96" spans="1:15" ht="25.5" x14ac:dyDescent="0.2">
      <c r="A96" s="183">
        <v>90</v>
      </c>
      <c r="B96" s="109" t="s">
        <v>367</v>
      </c>
      <c r="C96" s="114" t="s">
        <v>576</v>
      </c>
      <c r="D96" s="30" t="s">
        <v>579</v>
      </c>
      <c r="E96" s="30" t="s">
        <v>579</v>
      </c>
      <c r="F96" s="30" t="s">
        <v>580</v>
      </c>
      <c r="G96" s="29" t="s">
        <v>53</v>
      </c>
      <c r="H96" s="49">
        <v>264.52</v>
      </c>
      <c r="I96" s="50">
        <v>722.8</v>
      </c>
      <c r="J96" s="50">
        <v>1719.38</v>
      </c>
      <c r="K96" s="45">
        <f t="shared" si="3"/>
        <v>2442.1800000000003</v>
      </c>
      <c r="L96" s="30" t="s">
        <v>33</v>
      </c>
      <c r="M96" s="99" t="s">
        <v>41</v>
      </c>
      <c r="N96" s="86" t="str">
        <f>HYPERLINK("https://drive.google.com/open?id=1cA6Tx4zH2V03C120lk2ITYkAji_qG8f6","Leja dokumenti 05-352/02-0134712/18")</f>
        <v>Leja dokumenti 05-352/02-0134712/18</v>
      </c>
      <c r="O96" s="86" t="str">
        <f>HYPERLINK("https://drive.google.com/open?id=1am7G4bENPsSG0tm-fYsBV3zeJUe2-wuH","Situacioni")</f>
        <v>Situacioni</v>
      </c>
    </row>
    <row r="97" spans="1:15" ht="25.5" x14ac:dyDescent="0.2">
      <c r="A97" s="183">
        <v>91</v>
      </c>
      <c r="B97" s="109" t="s">
        <v>581</v>
      </c>
      <c r="C97" s="114" t="s">
        <v>582</v>
      </c>
      <c r="D97" s="30" t="s">
        <v>583</v>
      </c>
      <c r="E97" s="30" t="s">
        <v>584</v>
      </c>
      <c r="F97" s="30" t="s">
        <v>585</v>
      </c>
      <c r="G97" s="30" t="s">
        <v>39</v>
      </c>
      <c r="H97" s="49">
        <v>5214.5600000000004</v>
      </c>
      <c r="I97" s="50">
        <v>30019.119999999999</v>
      </c>
      <c r="J97" s="50">
        <v>34111.96</v>
      </c>
      <c r="K97" s="45">
        <f t="shared" si="3"/>
        <v>64131.08</v>
      </c>
      <c r="L97" s="30" t="s">
        <v>586</v>
      </c>
      <c r="M97" s="99" t="s">
        <v>55</v>
      </c>
      <c r="N97" s="86" t="str">
        <f>HYPERLINK("https://drive.google.com/open?id=1m2lPEJl9IpKen58v6IsurTGRt0jUNX2A","Leja dokumenti 05-351/02-0079921/18")</f>
        <v>Leja dokumenti 05-351/02-0079921/18</v>
      </c>
      <c r="O97" s="86" t="str">
        <f>HYPERLINK("https://drive.google.com/open?id=1bxNztSA_3U3XDQSVgwWUjDk1_k-ppxQA","Situacioni")</f>
        <v>Situacioni</v>
      </c>
    </row>
    <row r="98" spans="1:15" ht="25.5" x14ac:dyDescent="0.2">
      <c r="A98" s="183">
        <v>92</v>
      </c>
      <c r="B98" s="109" t="s">
        <v>286</v>
      </c>
      <c r="C98" s="114" t="s">
        <v>587</v>
      </c>
      <c r="D98" s="71" t="s">
        <v>588</v>
      </c>
      <c r="E98" s="71" t="s">
        <v>588</v>
      </c>
      <c r="F98" s="30" t="s">
        <v>589</v>
      </c>
      <c r="G98" s="72" t="s">
        <v>39</v>
      </c>
      <c r="H98" s="49">
        <v>313.8</v>
      </c>
      <c r="I98" s="50">
        <v>869.89</v>
      </c>
      <c r="J98" s="50">
        <v>2039.7</v>
      </c>
      <c r="K98" s="45">
        <f t="shared" si="3"/>
        <v>2909.59</v>
      </c>
      <c r="L98" s="30" t="s">
        <v>40</v>
      </c>
      <c r="M98" s="99" t="s">
        <v>41</v>
      </c>
      <c r="N98" s="86" t="s">
        <v>644</v>
      </c>
      <c r="O98" s="86" t="s">
        <v>14</v>
      </c>
    </row>
    <row r="99" spans="1:15" s="37" customFormat="1" ht="25.5" x14ac:dyDescent="0.2">
      <c r="A99" s="183">
        <v>93</v>
      </c>
      <c r="B99" s="111" t="s">
        <v>468</v>
      </c>
      <c r="C99" s="114" t="s">
        <v>469</v>
      </c>
      <c r="D99" s="38" t="s">
        <v>383</v>
      </c>
      <c r="E99" s="38" t="s">
        <v>383</v>
      </c>
      <c r="F99" s="38" t="s">
        <v>384</v>
      </c>
      <c r="G99" s="39" t="s">
        <v>385</v>
      </c>
      <c r="H99" s="49">
        <v>1581.6</v>
      </c>
      <c r="I99" s="50">
        <v>0</v>
      </c>
      <c r="J99" s="50">
        <v>10280.4</v>
      </c>
      <c r="K99" s="45">
        <f>SUM(I99+J99)</f>
        <v>10280.4</v>
      </c>
      <c r="L99" s="38" t="s">
        <v>20</v>
      </c>
      <c r="M99" s="102" t="s">
        <v>34</v>
      </c>
      <c r="N99" s="86" t="s">
        <v>386</v>
      </c>
      <c r="O99" s="86" t="s">
        <v>14</v>
      </c>
    </row>
    <row r="100" spans="1:15" s="37" customFormat="1" ht="25.5" x14ac:dyDescent="0.2">
      <c r="A100" s="183">
        <v>94</v>
      </c>
      <c r="B100" s="111" t="s">
        <v>470</v>
      </c>
      <c r="C100" s="114" t="s">
        <v>471</v>
      </c>
      <c r="D100" s="38" t="s">
        <v>387</v>
      </c>
      <c r="E100" s="38" t="s">
        <v>387</v>
      </c>
      <c r="F100" s="38" t="s">
        <v>388</v>
      </c>
      <c r="G100" s="39" t="s">
        <v>175</v>
      </c>
      <c r="H100" s="49">
        <v>79859.8</v>
      </c>
      <c r="I100" s="50">
        <v>569019.31000000006</v>
      </c>
      <c r="J100" s="50">
        <v>519093.25</v>
      </c>
      <c r="K100" s="45">
        <f t="shared" ref="K100:K109" si="4">SUM(I100+J100)</f>
        <v>1088112.56</v>
      </c>
      <c r="L100" s="38" t="s">
        <v>389</v>
      </c>
      <c r="M100" s="102" t="s">
        <v>55</v>
      </c>
      <c r="N100" s="86" t="s">
        <v>390</v>
      </c>
      <c r="O100" s="86" t="s">
        <v>14</v>
      </c>
    </row>
    <row r="101" spans="1:15" s="37" customFormat="1" ht="25.5" x14ac:dyDescent="0.2">
      <c r="A101" s="183">
        <v>95</v>
      </c>
      <c r="B101" s="111" t="s">
        <v>472</v>
      </c>
      <c r="C101" s="114" t="s">
        <v>473</v>
      </c>
      <c r="D101" s="38" t="s">
        <v>391</v>
      </c>
      <c r="E101" s="38" t="s">
        <v>392</v>
      </c>
      <c r="F101" s="38" t="s">
        <v>393</v>
      </c>
      <c r="G101" s="39" t="s">
        <v>25</v>
      </c>
      <c r="H101" s="49">
        <v>2995.4</v>
      </c>
      <c r="I101" s="50">
        <v>0</v>
      </c>
      <c r="J101" s="50">
        <v>1015.19</v>
      </c>
      <c r="K101" s="45">
        <f t="shared" si="4"/>
        <v>1015.19</v>
      </c>
      <c r="L101" s="38" t="s">
        <v>394</v>
      </c>
      <c r="M101" s="102" t="s">
        <v>313</v>
      </c>
      <c r="N101" s="86" t="s">
        <v>395</v>
      </c>
      <c r="O101" s="86" t="s">
        <v>14</v>
      </c>
    </row>
    <row r="102" spans="1:15" s="37" customFormat="1" ht="38.25" x14ac:dyDescent="0.2">
      <c r="A102" s="183">
        <v>96</v>
      </c>
      <c r="B102" s="113" t="s">
        <v>275</v>
      </c>
      <c r="C102" s="114" t="s">
        <v>474</v>
      </c>
      <c r="D102" s="39" t="s">
        <v>396</v>
      </c>
      <c r="E102" s="39" t="s">
        <v>397</v>
      </c>
      <c r="F102" s="39" t="s">
        <v>398</v>
      </c>
      <c r="G102" s="39" t="s">
        <v>53</v>
      </c>
      <c r="H102" s="49">
        <v>19146.5</v>
      </c>
      <c r="I102" s="40">
        <v>85763.97</v>
      </c>
      <c r="J102" s="40">
        <v>125539.3</v>
      </c>
      <c r="K102" s="45">
        <f t="shared" si="4"/>
        <v>211303.27000000002</v>
      </c>
      <c r="L102" s="39" t="s">
        <v>84</v>
      </c>
      <c r="M102" s="39" t="s">
        <v>55</v>
      </c>
      <c r="N102" s="105" t="s">
        <v>399</v>
      </c>
      <c r="O102" s="105" t="s">
        <v>14</v>
      </c>
    </row>
    <row r="103" spans="1:15" s="37" customFormat="1" ht="63.75" x14ac:dyDescent="0.2">
      <c r="A103" s="183">
        <v>97</v>
      </c>
      <c r="B103" s="111" t="s">
        <v>475</v>
      </c>
      <c r="C103" s="112" t="s">
        <v>476</v>
      </c>
      <c r="D103" s="38" t="s">
        <v>400</v>
      </c>
      <c r="E103" s="38" t="s">
        <v>401</v>
      </c>
      <c r="F103" s="38" t="s">
        <v>402</v>
      </c>
      <c r="G103" s="39" t="s">
        <v>175</v>
      </c>
      <c r="H103" s="147">
        <v>36202</v>
      </c>
      <c r="I103" s="148">
        <v>61984.11</v>
      </c>
      <c r="J103" s="148">
        <v>236070.34</v>
      </c>
      <c r="K103" s="142">
        <f t="shared" si="4"/>
        <v>298054.45</v>
      </c>
      <c r="L103" s="38" t="s">
        <v>403</v>
      </c>
      <c r="M103" s="102" t="s">
        <v>34</v>
      </c>
      <c r="N103" s="162" t="s">
        <v>747</v>
      </c>
      <c r="O103" s="154" t="s">
        <v>14</v>
      </c>
    </row>
    <row r="104" spans="1:15" s="37" customFormat="1" ht="51" x14ac:dyDescent="0.2">
      <c r="A104" s="183">
        <v>98</v>
      </c>
      <c r="B104" s="111" t="s">
        <v>477</v>
      </c>
      <c r="C104" s="112" t="s">
        <v>478</v>
      </c>
      <c r="D104" s="38" t="s">
        <v>404</v>
      </c>
      <c r="E104" s="38" t="s">
        <v>404</v>
      </c>
      <c r="F104" s="38" t="s">
        <v>405</v>
      </c>
      <c r="G104" s="39" t="s">
        <v>317</v>
      </c>
      <c r="H104" s="147">
        <v>462</v>
      </c>
      <c r="I104" s="148">
        <v>4366.13</v>
      </c>
      <c r="J104" s="148">
        <v>3003</v>
      </c>
      <c r="K104" s="142">
        <f t="shared" si="4"/>
        <v>7369.13</v>
      </c>
      <c r="L104" s="38" t="s">
        <v>322</v>
      </c>
      <c r="M104" s="102" t="s">
        <v>41</v>
      </c>
      <c r="N104" s="101" t="s">
        <v>748</v>
      </c>
      <c r="O104" s="86" t="s">
        <v>14</v>
      </c>
    </row>
    <row r="105" spans="1:15" s="37" customFormat="1" ht="25.5" x14ac:dyDescent="0.2">
      <c r="A105" s="183">
        <v>99</v>
      </c>
      <c r="B105" s="111" t="s">
        <v>284</v>
      </c>
      <c r="C105" s="112" t="s">
        <v>479</v>
      </c>
      <c r="D105" s="39" t="s">
        <v>406</v>
      </c>
      <c r="E105" s="38" t="s">
        <v>407</v>
      </c>
      <c r="F105" s="38" t="s">
        <v>408</v>
      </c>
      <c r="G105" s="39" t="s">
        <v>186</v>
      </c>
      <c r="H105" s="49">
        <v>3333.84</v>
      </c>
      <c r="I105" s="50">
        <v>0</v>
      </c>
      <c r="J105" s="50">
        <v>22130.93</v>
      </c>
      <c r="K105" s="45">
        <f t="shared" si="4"/>
        <v>22130.93</v>
      </c>
      <c r="L105" s="38" t="s">
        <v>40</v>
      </c>
      <c r="M105" s="102" t="s">
        <v>34</v>
      </c>
      <c r="N105" s="86" t="s">
        <v>409</v>
      </c>
      <c r="O105" s="86" t="s">
        <v>14</v>
      </c>
    </row>
    <row r="106" spans="1:15" s="37" customFormat="1" ht="25.5" x14ac:dyDescent="0.2">
      <c r="A106" s="183">
        <v>100</v>
      </c>
      <c r="B106" s="111" t="s">
        <v>274</v>
      </c>
      <c r="C106" s="112" t="s">
        <v>479</v>
      </c>
      <c r="D106" s="38" t="s">
        <v>410</v>
      </c>
      <c r="E106" s="38" t="s">
        <v>410</v>
      </c>
      <c r="F106" s="38" t="s">
        <v>411</v>
      </c>
      <c r="G106" s="39" t="s">
        <v>95</v>
      </c>
      <c r="H106" s="49">
        <v>204.1</v>
      </c>
      <c r="I106" s="50">
        <v>579.21</v>
      </c>
      <c r="J106" s="50">
        <v>1326.64</v>
      </c>
      <c r="K106" s="45">
        <f t="shared" si="4"/>
        <v>1905.8500000000001</v>
      </c>
      <c r="L106" s="38" t="s">
        <v>33</v>
      </c>
      <c r="M106" s="102" t="s">
        <v>41</v>
      </c>
      <c r="N106" s="86" t="s">
        <v>412</v>
      </c>
      <c r="O106" s="86" t="s">
        <v>14</v>
      </c>
    </row>
    <row r="107" spans="1:15" s="37" customFormat="1" ht="25.5" x14ac:dyDescent="0.2">
      <c r="A107" s="183">
        <v>101</v>
      </c>
      <c r="B107" s="111" t="s">
        <v>480</v>
      </c>
      <c r="C107" s="112" t="s">
        <v>479</v>
      </c>
      <c r="D107" s="38" t="s">
        <v>413</v>
      </c>
      <c r="E107" s="38" t="s">
        <v>414</v>
      </c>
      <c r="F107" s="43" t="s">
        <v>415</v>
      </c>
      <c r="G107" s="39" t="s">
        <v>317</v>
      </c>
      <c r="H107" s="49">
        <v>14193.38</v>
      </c>
      <c r="I107" s="50">
        <v>0</v>
      </c>
      <c r="J107" s="50">
        <v>92256.97</v>
      </c>
      <c r="K107" s="45">
        <f t="shared" si="4"/>
        <v>92256.97</v>
      </c>
      <c r="L107" s="38" t="s">
        <v>230</v>
      </c>
      <c r="M107" s="102" t="s">
        <v>34</v>
      </c>
      <c r="N107" s="86" t="s">
        <v>416</v>
      </c>
      <c r="O107" s="86" t="s">
        <v>14</v>
      </c>
    </row>
    <row r="108" spans="1:15" s="37" customFormat="1" ht="25.5" x14ac:dyDescent="0.2">
      <c r="A108" s="183">
        <v>102</v>
      </c>
      <c r="B108" s="111" t="s">
        <v>481</v>
      </c>
      <c r="C108" s="112" t="s">
        <v>479</v>
      </c>
      <c r="D108" s="38" t="s">
        <v>417</v>
      </c>
      <c r="E108" s="38" t="s">
        <v>417</v>
      </c>
      <c r="F108" s="38" t="s">
        <v>418</v>
      </c>
      <c r="G108" s="39" t="s">
        <v>103</v>
      </c>
      <c r="H108" s="49">
        <v>581.04</v>
      </c>
      <c r="I108" s="50">
        <v>2009.36</v>
      </c>
      <c r="J108" s="50">
        <v>4600.62</v>
      </c>
      <c r="K108" s="45">
        <f t="shared" si="4"/>
        <v>6609.98</v>
      </c>
      <c r="L108" s="38" t="s">
        <v>187</v>
      </c>
      <c r="M108" s="102" t="s">
        <v>67</v>
      </c>
      <c r="N108" s="86" t="s">
        <v>419</v>
      </c>
      <c r="O108" s="86" t="s">
        <v>14</v>
      </c>
    </row>
    <row r="109" spans="1:15" s="37" customFormat="1" ht="25.5" x14ac:dyDescent="0.2">
      <c r="A109" s="183">
        <v>103</v>
      </c>
      <c r="B109" s="111" t="s">
        <v>482</v>
      </c>
      <c r="C109" s="112" t="s">
        <v>483</v>
      </c>
      <c r="D109" s="42" t="s">
        <v>420</v>
      </c>
      <c r="E109" s="41" t="s">
        <v>420</v>
      </c>
      <c r="F109" s="38" t="s">
        <v>421</v>
      </c>
      <c r="G109" s="39" t="s">
        <v>317</v>
      </c>
      <c r="H109" s="49">
        <v>64</v>
      </c>
      <c r="I109" s="50">
        <v>0</v>
      </c>
      <c r="J109" s="50">
        <v>416</v>
      </c>
      <c r="K109" s="45">
        <f t="shared" si="4"/>
        <v>416</v>
      </c>
      <c r="L109" s="38" t="s">
        <v>495</v>
      </c>
      <c r="M109" s="102" t="s">
        <v>157</v>
      </c>
      <c r="N109" s="86" t="s">
        <v>422</v>
      </c>
      <c r="O109" s="86" t="s">
        <v>14</v>
      </c>
    </row>
    <row r="110" spans="1:15" s="37" customFormat="1" ht="25.5" x14ac:dyDescent="0.2">
      <c r="A110" s="183">
        <v>104</v>
      </c>
      <c r="B110" s="111" t="s">
        <v>49</v>
      </c>
      <c r="C110" s="112" t="s">
        <v>483</v>
      </c>
      <c r="D110" s="41" t="s">
        <v>423</v>
      </c>
      <c r="E110" s="41" t="s">
        <v>423</v>
      </c>
      <c r="F110" s="38" t="s">
        <v>424</v>
      </c>
      <c r="G110" s="39" t="s">
        <v>425</v>
      </c>
      <c r="H110" s="49">
        <v>400</v>
      </c>
      <c r="I110" s="50" t="s">
        <v>127</v>
      </c>
      <c r="J110" s="50" t="s">
        <v>127</v>
      </c>
      <c r="K110" s="45" t="s">
        <v>127</v>
      </c>
      <c r="L110" s="38" t="s">
        <v>20</v>
      </c>
      <c r="M110" s="102" t="s">
        <v>34</v>
      </c>
      <c r="N110" s="86" t="s">
        <v>426</v>
      </c>
      <c r="O110" s="86" t="s">
        <v>14</v>
      </c>
    </row>
    <row r="111" spans="1:15" s="37" customFormat="1" ht="38.25" x14ac:dyDescent="0.2">
      <c r="A111" s="183">
        <v>105</v>
      </c>
      <c r="B111" s="111" t="s">
        <v>484</v>
      </c>
      <c r="C111" s="112" t="s">
        <v>485</v>
      </c>
      <c r="D111" s="41" t="s">
        <v>427</v>
      </c>
      <c r="E111" s="41" t="s">
        <v>427</v>
      </c>
      <c r="F111" s="38" t="s">
        <v>428</v>
      </c>
      <c r="G111" s="39" t="s">
        <v>186</v>
      </c>
      <c r="H111" s="147">
        <v>242.15</v>
      </c>
      <c r="I111" s="148">
        <v>895</v>
      </c>
      <c r="J111" s="148">
        <v>1573.98</v>
      </c>
      <c r="K111" s="142">
        <f>SUM(I111+J111)</f>
        <v>2468.98</v>
      </c>
      <c r="L111" s="38" t="s">
        <v>33</v>
      </c>
      <c r="M111" s="102" t="s">
        <v>41</v>
      </c>
      <c r="N111" s="86" t="s">
        <v>429</v>
      </c>
      <c r="O111" s="86" t="s">
        <v>14</v>
      </c>
    </row>
    <row r="112" spans="1:15" s="37" customFormat="1" ht="25.5" x14ac:dyDescent="0.2">
      <c r="A112" s="183">
        <v>106</v>
      </c>
      <c r="B112" s="111" t="s">
        <v>366</v>
      </c>
      <c r="C112" s="112" t="s">
        <v>486</v>
      </c>
      <c r="D112" s="41" t="s">
        <v>430</v>
      </c>
      <c r="E112" s="41" t="s">
        <v>431</v>
      </c>
      <c r="F112" s="38" t="s">
        <v>432</v>
      </c>
      <c r="G112" s="39" t="s">
        <v>385</v>
      </c>
      <c r="H112" s="49">
        <v>1869.04</v>
      </c>
      <c r="I112" s="50">
        <v>4569.68</v>
      </c>
      <c r="J112" s="50">
        <v>12148.8</v>
      </c>
      <c r="K112" s="45">
        <f t="shared" ref="K112:K116" si="5">SUM(I112+J112)</f>
        <v>16718.48</v>
      </c>
      <c r="L112" s="38" t="s">
        <v>40</v>
      </c>
      <c r="M112" s="102" t="s">
        <v>67</v>
      </c>
      <c r="N112" s="86" t="s">
        <v>433</v>
      </c>
      <c r="O112" s="86" t="s">
        <v>14</v>
      </c>
    </row>
    <row r="113" spans="1:15" s="37" customFormat="1" ht="25.5" x14ac:dyDescent="0.2">
      <c r="A113" s="183">
        <v>107</v>
      </c>
      <c r="B113" s="111" t="s">
        <v>480</v>
      </c>
      <c r="C113" s="112" t="s">
        <v>486</v>
      </c>
      <c r="D113" s="41" t="s">
        <v>434</v>
      </c>
      <c r="E113" s="41" t="s">
        <v>434</v>
      </c>
      <c r="F113" s="38" t="s">
        <v>435</v>
      </c>
      <c r="G113" s="39" t="s">
        <v>436</v>
      </c>
      <c r="H113" s="49">
        <v>239.9</v>
      </c>
      <c r="I113" s="50">
        <v>606.29999999999995</v>
      </c>
      <c r="J113" s="50">
        <v>1559.35</v>
      </c>
      <c r="K113" s="45">
        <f t="shared" si="5"/>
        <v>2165.6499999999996</v>
      </c>
      <c r="L113" s="38" t="s">
        <v>437</v>
      </c>
      <c r="M113" s="102" t="s">
        <v>41</v>
      </c>
      <c r="N113" s="86" t="s">
        <v>438</v>
      </c>
      <c r="O113" s="86" t="s">
        <v>14</v>
      </c>
    </row>
    <row r="114" spans="1:15" s="37" customFormat="1" ht="25.5" x14ac:dyDescent="0.2">
      <c r="A114" s="183">
        <v>108</v>
      </c>
      <c r="B114" s="113" t="s">
        <v>487</v>
      </c>
      <c r="C114" s="114" t="s">
        <v>488</v>
      </c>
      <c r="D114" s="42" t="s">
        <v>439</v>
      </c>
      <c r="E114" s="42" t="s">
        <v>439</v>
      </c>
      <c r="F114" s="39" t="s">
        <v>440</v>
      </c>
      <c r="G114" s="39" t="s">
        <v>95</v>
      </c>
      <c r="H114" s="49">
        <v>292.19</v>
      </c>
      <c r="I114" s="40">
        <v>880.78</v>
      </c>
      <c r="J114" s="40">
        <v>1899.24</v>
      </c>
      <c r="K114" s="45">
        <f t="shared" si="5"/>
        <v>2780.02</v>
      </c>
      <c r="L114" s="39" t="s">
        <v>33</v>
      </c>
      <c r="M114" s="104" t="s">
        <v>41</v>
      </c>
      <c r="N114" s="86" t="s">
        <v>441</v>
      </c>
      <c r="O114" s="86" t="s">
        <v>14</v>
      </c>
    </row>
    <row r="115" spans="1:15" s="37" customFormat="1" ht="25.5" x14ac:dyDescent="0.2">
      <c r="A115" s="183">
        <v>109</v>
      </c>
      <c r="B115" s="111" t="s">
        <v>80</v>
      </c>
      <c r="C115" s="112" t="s">
        <v>488</v>
      </c>
      <c r="D115" s="41" t="s">
        <v>442</v>
      </c>
      <c r="E115" s="41" t="s">
        <v>442</v>
      </c>
      <c r="F115" s="38" t="s">
        <v>443</v>
      </c>
      <c r="G115" s="39" t="s">
        <v>317</v>
      </c>
      <c r="H115" s="49">
        <v>3529.82</v>
      </c>
      <c r="I115" s="50">
        <v>0</v>
      </c>
      <c r="J115" s="50">
        <v>22943.18</v>
      </c>
      <c r="K115" s="45">
        <f t="shared" si="5"/>
        <v>22943.18</v>
      </c>
      <c r="L115" s="38" t="s">
        <v>40</v>
      </c>
      <c r="M115" s="102" t="s">
        <v>34</v>
      </c>
      <c r="N115" s="86" t="s">
        <v>444</v>
      </c>
      <c r="O115" s="86" t="s">
        <v>14</v>
      </c>
    </row>
    <row r="116" spans="1:15" s="37" customFormat="1" ht="25.5" x14ac:dyDescent="0.2">
      <c r="A116" s="183">
        <v>110</v>
      </c>
      <c r="B116" s="111" t="s">
        <v>274</v>
      </c>
      <c r="C116" s="112" t="s">
        <v>489</v>
      </c>
      <c r="D116" s="41" t="s">
        <v>445</v>
      </c>
      <c r="E116" s="41" t="s">
        <v>445</v>
      </c>
      <c r="F116" s="38" t="s">
        <v>446</v>
      </c>
      <c r="G116" s="38" t="s">
        <v>39</v>
      </c>
      <c r="H116" s="49">
        <v>209.57</v>
      </c>
      <c r="I116" s="50">
        <v>350</v>
      </c>
      <c r="J116" s="50">
        <v>1255.3499999999999</v>
      </c>
      <c r="K116" s="45">
        <f t="shared" si="5"/>
        <v>1605.35</v>
      </c>
      <c r="L116" s="38" t="s">
        <v>33</v>
      </c>
      <c r="M116" s="102" t="s">
        <v>41</v>
      </c>
      <c r="N116" s="86" t="s">
        <v>447</v>
      </c>
      <c r="O116" s="86" t="s">
        <v>14</v>
      </c>
    </row>
    <row r="117" spans="1:15" s="37" customFormat="1" ht="25.5" x14ac:dyDescent="0.2">
      <c r="A117" s="183">
        <v>111</v>
      </c>
      <c r="B117" s="111" t="s">
        <v>480</v>
      </c>
      <c r="C117" s="112" t="s">
        <v>489</v>
      </c>
      <c r="D117" s="41" t="s">
        <v>448</v>
      </c>
      <c r="E117" s="41" t="s">
        <v>448</v>
      </c>
      <c r="F117" s="41" t="s">
        <v>449</v>
      </c>
      <c r="G117" s="39" t="s">
        <v>450</v>
      </c>
      <c r="H117" s="49">
        <v>159.32</v>
      </c>
      <c r="I117" s="50" t="s">
        <v>127</v>
      </c>
      <c r="J117" s="50" t="s">
        <v>127</v>
      </c>
      <c r="K117" s="45" t="s">
        <v>127</v>
      </c>
      <c r="L117" s="38" t="s">
        <v>20</v>
      </c>
      <c r="M117" s="102" t="s">
        <v>21</v>
      </c>
      <c r="N117" s="86" t="s">
        <v>451</v>
      </c>
      <c r="O117" s="86" t="s">
        <v>14</v>
      </c>
    </row>
    <row r="118" spans="1:15" s="37" customFormat="1" ht="25.5" x14ac:dyDescent="0.2">
      <c r="A118" s="183">
        <v>112</v>
      </c>
      <c r="B118" s="111" t="s">
        <v>284</v>
      </c>
      <c r="C118" s="112" t="s">
        <v>490</v>
      </c>
      <c r="D118" s="41" t="s">
        <v>452</v>
      </c>
      <c r="E118" s="41" t="s">
        <v>452</v>
      </c>
      <c r="F118" s="41" t="s">
        <v>453</v>
      </c>
      <c r="G118" s="39" t="s">
        <v>175</v>
      </c>
      <c r="H118" s="49">
        <v>29</v>
      </c>
      <c r="I118" s="50">
        <v>0</v>
      </c>
      <c r="J118" s="50">
        <v>188.5</v>
      </c>
      <c r="K118" s="45">
        <f>SUM(I118+J118)</f>
        <v>188.5</v>
      </c>
      <c r="L118" s="38" t="s">
        <v>33</v>
      </c>
      <c r="M118" s="102" t="s">
        <v>157</v>
      </c>
      <c r="N118" s="86" t="s">
        <v>454</v>
      </c>
      <c r="O118" s="86" t="s">
        <v>14</v>
      </c>
    </row>
    <row r="119" spans="1:15" s="37" customFormat="1" ht="25.5" x14ac:dyDescent="0.2">
      <c r="A119" s="183">
        <v>113</v>
      </c>
      <c r="B119" s="111" t="s">
        <v>284</v>
      </c>
      <c r="C119" s="112" t="s">
        <v>490</v>
      </c>
      <c r="D119" s="41" t="s">
        <v>452</v>
      </c>
      <c r="E119" s="41" t="s">
        <v>452</v>
      </c>
      <c r="F119" s="41" t="s">
        <v>453</v>
      </c>
      <c r="G119" s="39" t="s">
        <v>175</v>
      </c>
      <c r="H119" s="49">
        <v>29</v>
      </c>
      <c r="I119" s="50">
        <v>0</v>
      </c>
      <c r="J119" s="50">
        <v>188.5</v>
      </c>
      <c r="K119" s="45">
        <f t="shared" ref="K119:K142" si="6">SUM(I119+J119)</f>
        <v>188.5</v>
      </c>
      <c r="L119" s="38" t="s">
        <v>33</v>
      </c>
      <c r="M119" s="102" t="s">
        <v>157</v>
      </c>
      <c r="N119" s="86" t="s">
        <v>455</v>
      </c>
      <c r="O119" s="86" t="s">
        <v>14</v>
      </c>
    </row>
    <row r="120" spans="1:15" s="37" customFormat="1" ht="25.5" x14ac:dyDescent="0.2">
      <c r="A120" s="183">
        <v>114</v>
      </c>
      <c r="B120" s="111" t="s">
        <v>491</v>
      </c>
      <c r="C120" s="112" t="s">
        <v>492</v>
      </c>
      <c r="D120" s="41" t="s">
        <v>456</v>
      </c>
      <c r="E120" s="41" t="s">
        <v>457</v>
      </c>
      <c r="F120" s="44" t="s">
        <v>458</v>
      </c>
      <c r="G120" s="38" t="s">
        <v>186</v>
      </c>
      <c r="H120" s="49">
        <v>7475.46</v>
      </c>
      <c r="I120" s="50">
        <v>16075.62</v>
      </c>
      <c r="J120" s="50">
        <v>48590.49</v>
      </c>
      <c r="K120" s="45">
        <f t="shared" si="6"/>
        <v>64666.11</v>
      </c>
      <c r="L120" s="38" t="s">
        <v>40</v>
      </c>
      <c r="M120" s="102" t="s">
        <v>67</v>
      </c>
      <c r="N120" s="86" t="s">
        <v>459</v>
      </c>
      <c r="O120" s="86" t="s">
        <v>14</v>
      </c>
    </row>
    <row r="121" spans="1:15" s="37" customFormat="1" ht="25.5" x14ac:dyDescent="0.2">
      <c r="A121" s="183">
        <v>115</v>
      </c>
      <c r="B121" s="111" t="s">
        <v>493</v>
      </c>
      <c r="C121" s="112" t="s">
        <v>492</v>
      </c>
      <c r="D121" s="38" t="s">
        <v>460</v>
      </c>
      <c r="E121" s="41" t="s">
        <v>461</v>
      </c>
      <c r="F121" s="41" t="s">
        <v>462</v>
      </c>
      <c r="G121" s="39" t="s">
        <v>25</v>
      </c>
      <c r="H121" s="49">
        <v>4874.1000000000004</v>
      </c>
      <c r="I121" s="50">
        <v>30390.68</v>
      </c>
      <c r="J121" s="50">
        <v>31796.05</v>
      </c>
      <c r="K121" s="45">
        <f t="shared" si="6"/>
        <v>62186.729999999996</v>
      </c>
      <c r="L121" s="38" t="s">
        <v>463</v>
      </c>
      <c r="M121" s="38" t="s">
        <v>55</v>
      </c>
      <c r="N121" s="153" t="s">
        <v>746</v>
      </c>
      <c r="O121" s="83" t="s">
        <v>14</v>
      </c>
    </row>
    <row r="122" spans="1:15" s="37" customFormat="1" ht="25.5" x14ac:dyDescent="0.2">
      <c r="A122" s="183">
        <v>116</v>
      </c>
      <c r="B122" s="111" t="s">
        <v>494</v>
      </c>
      <c r="C122" s="112" t="s">
        <v>492</v>
      </c>
      <c r="D122" s="41" t="s">
        <v>464</v>
      </c>
      <c r="E122" s="41" t="s">
        <v>464</v>
      </c>
      <c r="F122" s="41" t="s">
        <v>465</v>
      </c>
      <c r="G122" s="38" t="s">
        <v>65</v>
      </c>
      <c r="H122" s="49">
        <v>448.4</v>
      </c>
      <c r="I122" s="50">
        <v>1098.6500000000001</v>
      </c>
      <c r="J122" s="50">
        <v>2914.6</v>
      </c>
      <c r="K122" s="45">
        <f t="shared" si="6"/>
        <v>4013.25</v>
      </c>
      <c r="L122" s="38" t="s">
        <v>466</v>
      </c>
      <c r="M122" s="38" t="s">
        <v>41</v>
      </c>
      <c r="N122" s="51" t="s">
        <v>467</v>
      </c>
      <c r="O122" s="51" t="s">
        <v>14</v>
      </c>
    </row>
    <row r="123" spans="1:15" ht="25.5" x14ac:dyDescent="0.2">
      <c r="A123" s="183">
        <v>117</v>
      </c>
      <c r="B123" s="115" t="s">
        <v>291</v>
      </c>
      <c r="C123" s="116" t="s">
        <v>292</v>
      </c>
      <c r="D123" s="29" t="s">
        <v>293</v>
      </c>
      <c r="E123" s="30" t="s">
        <v>293</v>
      </c>
      <c r="F123" s="30" t="s">
        <v>294</v>
      </c>
      <c r="G123" s="46" t="s">
        <v>186</v>
      </c>
      <c r="H123" s="4">
        <v>231.8</v>
      </c>
      <c r="I123" s="7">
        <v>1506.7</v>
      </c>
      <c r="J123" s="7">
        <v>730.57</v>
      </c>
      <c r="K123" s="45">
        <f t="shared" si="6"/>
        <v>2237.27</v>
      </c>
      <c r="L123" s="30" t="s">
        <v>33</v>
      </c>
      <c r="M123" s="30" t="s">
        <v>41</v>
      </c>
      <c r="N123" s="62" t="str">
        <f>HYPERLINK("https://drive.google.com/open?id=1hkpKmHNsb4A56bNJiGc0uNXrtXasihT1","Leja dokumenti 05-351/02-82789/18")</f>
        <v>Leja dokumenti 05-351/02-82789/18</v>
      </c>
      <c r="O123" s="62" t="str">
        <f>HYPERLINK("https://drive.google.com/open?id=1fB5z9Q00L8XibyYDauXj4x1tHoeJKjYx","Situacioni")</f>
        <v>Situacioni</v>
      </c>
    </row>
    <row r="124" spans="1:15" ht="25.5" x14ac:dyDescent="0.2">
      <c r="A124" s="183">
        <v>118</v>
      </c>
      <c r="B124" s="117" t="s">
        <v>272</v>
      </c>
      <c r="C124" s="118" t="s">
        <v>292</v>
      </c>
      <c r="D124" s="29" t="s">
        <v>295</v>
      </c>
      <c r="E124" s="29" t="s">
        <v>295</v>
      </c>
      <c r="F124" s="29" t="s">
        <v>296</v>
      </c>
      <c r="G124" s="29" t="s">
        <v>39</v>
      </c>
      <c r="H124" s="4" t="s">
        <v>382</v>
      </c>
      <c r="I124" s="7">
        <v>20.8</v>
      </c>
      <c r="J124" s="7">
        <v>503.23</v>
      </c>
      <c r="K124" s="45">
        <f t="shared" si="6"/>
        <v>524.03</v>
      </c>
      <c r="L124" s="29" t="s">
        <v>20</v>
      </c>
      <c r="M124" s="29" t="s">
        <v>297</v>
      </c>
      <c r="N124" s="62" t="str">
        <f>HYPERLINK("https://drive.google.com/open?id=1qM87Y_3ITlms7a8jPQSzmT7noRFcpejY","Leja dokumentit 05-351/01-0113552/18")</f>
        <v>Leja dokumentit 05-351/01-0113552/18</v>
      </c>
      <c r="O124" s="62" t="str">
        <f>HYPERLINK("https://drive.google.com/open?id=1FwlOK6d_XUEDu4kTwyl3NzdREwUlsF3P","Situacioni")</f>
        <v>Situacioni</v>
      </c>
    </row>
    <row r="125" spans="1:15" ht="25.5" x14ac:dyDescent="0.2">
      <c r="A125" s="183">
        <v>119</v>
      </c>
      <c r="B125" s="115" t="s">
        <v>298</v>
      </c>
      <c r="C125" s="116" t="s">
        <v>299</v>
      </c>
      <c r="D125" s="30" t="s">
        <v>300</v>
      </c>
      <c r="E125" s="30" t="s">
        <v>300</v>
      </c>
      <c r="F125" s="30" t="s">
        <v>301</v>
      </c>
      <c r="G125" s="29" t="s">
        <v>65</v>
      </c>
      <c r="H125" s="4">
        <v>165.86</v>
      </c>
      <c r="I125" s="7">
        <v>0</v>
      </c>
      <c r="J125" s="7">
        <v>1078.0899999999999</v>
      </c>
      <c r="K125" s="45">
        <f t="shared" si="6"/>
        <v>1078.0899999999999</v>
      </c>
      <c r="L125" s="30" t="s">
        <v>20</v>
      </c>
      <c r="M125" s="30" t="s">
        <v>188</v>
      </c>
      <c r="N125" s="52" t="str">
        <f>HYPERLINK("https://drive.google.com/open?id=1dkiK9XHKB8AwWvdyAVpIfd8AKqZEiIDR","Leja dokumenti 05-351/02-0075772/18")</f>
        <v>Leja dokumenti 05-351/02-0075772/18</v>
      </c>
      <c r="O125" s="52" t="str">
        <f>HYPERLINK("https://drive.google.com/open?id=1T7qnBk9Luqyu8QyjvdBH-wZ_8BIoSjf1","Situacioni")</f>
        <v>Situacioni</v>
      </c>
    </row>
    <row r="126" spans="1:15" ht="76.5" x14ac:dyDescent="0.2">
      <c r="A126" s="183">
        <v>120</v>
      </c>
      <c r="B126" s="117" t="s">
        <v>302</v>
      </c>
      <c r="C126" s="118" t="s">
        <v>303</v>
      </c>
      <c r="D126" s="29" t="s">
        <v>304</v>
      </c>
      <c r="E126" s="29" t="s">
        <v>305</v>
      </c>
      <c r="F126" s="29" t="s">
        <v>306</v>
      </c>
      <c r="G126" s="29" t="s">
        <v>25</v>
      </c>
      <c r="H126" s="149">
        <v>3827.18</v>
      </c>
      <c r="I126" s="150">
        <v>23052.93</v>
      </c>
      <c r="J126" s="150">
        <v>24876.67</v>
      </c>
      <c r="K126" s="151">
        <f t="shared" si="6"/>
        <v>47929.599999999999</v>
      </c>
      <c r="L126" s="29" t="s">
        <v>307</v>
      </c>
      <c r="M126" s="29" t="s">
        <v>55</v>
      </c>
      <c r="N126" s="51" t="str">
        <f>HYPERLINK("https://drive.google.com/open?id=12AY3eXesL-83Z47JHt4n2Aona5sQbV8w","Leja dokumenti 05-351/02-0050361/18")</f>
        <v>Leja dokumenti 05-351/02-0050361/18</v>
      </c>
      <c r="O126" s="51" t="str">
        <f>HYPERLINK("https://drive.google.com/open?id=1WDjzb0VGV81Tr9WlvoXvQsvPpDyLmFyq","Situacioni")</f>
        <v>Situacioni</v>
      </c>
    </row>
    <row r="127" spans="1:15" ht="76.5" x14ac:dyDescent="0.2">
      <c r="A127" s="183">
        <v>121</v>
      </c>
      <c r="B127" s="117" t="s">
        <v>308</v>
      </c>
      <c r="C127" s="118" t="s">
        <v>303</v>
      </c>
      <c r="D127" s="29" t="s">
        <v>309</v>
      </c>
      <c r="E127" s="29" t="s">
        <v>310</v>
      </c>
      <c r="F127" s="29" t="s">
        <v>311</v>
      </c>
      <c r="G127" s="29" t="s">
        <v>25</v>
      </c>
      <c r="H127" s="4">
        <v>7392.07</v>
      </c>
      <c r="I127" s="152">
        <v>45634.32</v>
      </c>
      <c r="J127" s="152">
        <v>48391.25</v>
      </c>
      <c r="K127" s="142">
        <f t="shared" si="6"/>
        <v>94025.57</v>
      </c>
      <c r="L127" s="29" t="s">
        <v>312</v>
      </c>
      <c r="M127" s="29" t="s">
        <v>313</v>
      </c>
      <c r="N127" s="52" t="str">
        <f>HYPERLINK("https://drive.google.com/open?id=14jbJQyyfsyw37o5W9GZEU_CzRJVk-lXG","Leja dokumenti 05-351/02-0317172/17")</f>
        <v>Leja dokumenti 05-351/02-0317172/17</v>
      </c>
      <c r="O127" s="52" t="str">
        <f>HYPERLINK("https://drive.google.com/open?id=1SfYQcos4XocZ82hHsiJeYAjxMMJUC0g5","Situacioni")</f>
        <v>Situacioni</v>
      </c>
    </row>
    <row r="128" spans="1:15" ht="25.5" x14ac:dyDescent="0.2">
      <c r="A128" s="183">
        <v>122</v>
      </c>
      <c r="B128" s="115" t="s">
        <v>314</v>
      </c>
      <c r="C128" s="116" t="s">
        <v>303</v>
      </c>
      <c r="D128" s="29" t="s">
        <v>315</v>
      </c>
      <c r="E128" s="30" t="s">
        <v>315</v>
      </c>
      <c r="F128" s="30" t="s">
        <v>316</v>
      </c>
      <c r="G128" s="29" t="s">
        <v>317</v>
      </c>
      <c r="H128" s="4">
        <v>217.56</v>
      </c>
      <c r="I128" s="7">
        <v>2197.91</v>
      </c>
      <c r="J128" s="7">
        <v>887.56</v>
      </c>
      <c r="K128" s="45">
        <f t="shared" si="6"/>
        <v>3085.47</v>
      </c>
      <c r="L128" s="30" t="s">
        <v>33</v>
      </c>
      <c r="M128" s="30" t="s">
        <v>41</v>
      </c>
      <c r="N128" s="51" t="str">
        <f>HYPERLINK("https://drive.google.com/open?id=14EPSw9NbjrXNfi1kuLzRhtzWdGjsI6oA","Leja dokumenti 05-351-196337/18")</f>
        <v>Leja dokumenti 05-351-196337/18</v>
      </c>
      <c r="O128" s="51" t="str">
        <f>HYPERLINK("https://drive.google.com/open?id=1GORgIbyfAQ_-qDrDIomVcOsFD5zFsGgT","Situacioni")</f>
        <v>Situacioni</v>
      </c>
    </row>
    <row r="129" spans="1:15" ht="25.5" x14ac:dyDescent="0.2">
      <c r="A129" s="183">
        <v>123</v>
      </c>
      <c r="B129" s="115" t="s">
        <v>131</v>
      </c>
      <c r="C129" s="116" t="s">
        <v>318</v>
      </c>
      <c r="D129" s="30" t="s">
        <v>319</v>
      </c>
      <c r="E129" s="30" t="s">
        <v>319</v>
      </c>
      <c r="F129" s="30" t="s">
        <v>320</v>
      </c>
      <c r="G129" s="29" t="s">
        <v>321</v>
      </c>
      <c r="H129" s="4">
        <v>313.44</v>
      </c>
      <c r="I129" s="7">
        <v>1095.8599999999999</v>
      </c>
      <c r="J129" s="7">
        <v>2037.36</v>
      </c>
      <c r="K129" s="45">
        <f t="shared" si="6"/>
        <v>3133.22</v>
      </c>
      <c r="L129" s="30" t="s">
        <v>322</v>
      </c>
      <c r="M129" s="30" t="s">
        <v>41</v>
      </c>
      <c r="N129" s="62" t="str">
        <f>HYPERLINK("https://drive.google.com/open?id=135F3eoCe8jAjuks_ToK0QpQg3OSi5C0y","Leje dokumenti 05-351/02-0038446/18")</f>
        <v>Leje dokumenti 05-351/02-0038446/18</v>
      </c>
      <c r="O129" s="62" t="str">
        <f>HYPERLINK("https://drive.google.com/open?id=1_Y78zHq7TM-zqBXPIaadBLzU788mcqm7","Situacioni")</f>
        <v>Situacioni</v>
      </c>
    </row>
    <row r="130" spans="1:15" ht="25.5" x14ac:dyDescent="0.2">
      <c r="A130" s="183">
        <v>124</v>
      </c>
      <c r="B130" s="115" t="s">
        <v>323</v>
      </c>
      <c r="C130" s="116" t="s">
        <v>318</v>
      </c>
      <c r="D130" s="29" t="s">
        <v>324</v>
      </c>
      <c r="E130" s="30" t="s">
        <v>324</v>
      </c>
      <c r="F130" s="30" t="s">
        <v>325</v>
      </c>
      <c r="G130" s="29" t="s">
        <v>186</v>
      </c>
      <c r="H130" s="4">
        <v>602.6</v>
      </c>
      <c r="I130" s="7">
        <v>3916.9</v>
      </c>
      <c r="J130" s="7">
        <v>4002.44</v>
      </c>
      <c r="K130" s="45">
        <f t="shared" si="6"/>
        <v>7919.34</v>
      </c>
      <c r="L130" s="30" t="s">
        <v>60</v>
      </c>
      <c r="M130" s="30" t="s">
        <v>41</v>
      </c>
      <c r="N130" s="62" t="str">
        <f>HYPERLINK("https://drive.google.com/open?id=1rt_YYIGBLBedzMfJPXNBvnq5wXxoedsT","Leja dokumenti 05-351/02-0088467/18")</f>
        <v>Leja dokumenti 05-351/02-0088467/18</v>
      </c>
      <c r="O130" s="62" t="str">
        <f>HYPERLINK("https://drive.google.com/open?id=1Oo9lJXyay0sqZVmjDJQuzJyGVc-h_5fa","Situacioni")</f>
        <v>Situacioni</v>
      </c>
    </row>
    <row r="131" spans="1:15" ht="25.5" x14ac:dyDescent="0.2">
      <c r="A131" s="183">
        <v>125</v>
      </c>
      <c r="B131" s="115" t="s">
        <v>326</v>
      </c>
      <c r="C131" s="116" t="s">
        <v>327</v>
      </c>
      <c r="D131" s="30" t="s">
        <v>328</v>
      </c>
      <c r="E131" s="30" t="s">
        <v>328</v>
      </c>
      <c r="F131" s="30" t="s">
        <v>329</v>
      </c>
      <c r="G131" s="30" t="s">
        <v>39</v>
      </c>
      <c r="H131" s="4">
        <v>241.4</v>
      </c>
      <c r="I131" s="7">
        <v>854.84</v>
      </c>
      <c r="J131" s="7">
        <v>1569.1</v>
      </c>
      <c r="K131" s="45">
        <f t="shared" si="6"/>
        <v>2423.94</v>
      </c>
      <c r="L131" s="30" t="s">
        <v>33</v>
      </c>
      <c r="M131" s="30" t="s">
        <v>41</v>
      </c>
      <c r="N131" s="62" t="str">
        <f>HYPERLINK("https://drive.google.com/open?id=103uXm301TnHGe8qIaCY_W0ij_Jevd1M6","Leje dokumenti 05-351/02-0219518/17")</f>
        <v>Leje dokumenti 05-351/02-0219518/17</v>
      </c>
      <c r="O131" s="62" t="str">
        <f>HYPERLINK("https://drive.google.com/open?id=1fIJL7pwdWtgkZagS5E8-mW4c_GnYyTZ7","Situacioni")</f>
        <v>Situacioni</v>
      </c>
    </row>
    <row r="132" spans="1:15" ht="25.5" x14ac:dyDescent="0.2">
      <c r="A132" s="183">
        <v>126</v>
      </c>
      <c r="B132" s="115" t="s">
        <v>281</v>
      </c>
      <c r="C132" s="116" t="s">
        <v>330</v>
      </c>
      <c r="D132" s="30" t="s">
        <v>331</v>
      </c>
      <c r="E132" s="30" t="s">
        <v>331</v>
      </c>
      <c r="F132" s="30" t="s">
        <v>332</v>
      </c>
      <c r="G132" s="29" t="s">
        <v>186</v>
      </c>
      <c r="H132" s="4">
        <v>289.62</v>
      </c>
      <c r="I132" s="7">
        <v>1011.34</v>
      </c>
      <c r="J132" s="7">
        <v>1882.53</v>
      </c>
      <c r="K132" s="45">
        <f t="shared" si="6"/>
        <v>2893.87</v>
      </c>
      <c r="L132" s="30" t="s">
        <v>33</v>
      </c>
      <c r="M132" s="30" t="s">
        <v>41</v>
      </c>
      <c r="N132" s="62" t="str">
        <f>HYPERLINK("https://drive.google.com/open?id=11yE8Ik0iW9861VM5UnFiue2Weq1GFRAC","Leje dokumenti 05-351/02-0092046/18")</f>
        <v>Leje dokumenti 05-351/02-0092046/18</v>
      </c>
      <c r="O132" s="62" t="str">
        <f>HYPERLINK("https://drive.google.com/open?id=11TOT2q9hdfQBiJOEbgS4eh8F_AgW6LQa","Situacioni")</f>
        <v>Situacioni</v>
      </c>
    </row>
    <row r="133" spans="1:15" ht="25.5" x14ac:dyDescent="0.2">
      <c r="A133" s="183">
        <v>127</v>
      </c>
      <c r="B133" s="115" t="s">
        <v>286</v>
      </c>
      <c r="C133" s="116" t="s">
        <v>333</v>
      </c>
      <c r="D133" s="30" t="s">
        <v>334</v>
      </c>
      <c r="E133" s="30" t="s">
        <v>334</v>
      </c>
      <c r="F133" s="30" t="s">
        <v>335</v>
      </c>
      <c r="G133" s="29" t="s">
        <v>65</v>
      </c>
      <c r="H133" s="4">
        <v>202.57</v>
      </c>
      <c r="I133" s="7">
        <v>620.26</v>
      </c>
      <c r="J133" s="7">
        <v>1316.71</v>
      </c>
      <c r="K133" s="45">
        <f t="shared" si="6"/>
        <v>1936.97</v>
      </c>
      <c r="L133" s="30" t="s">
        <v>336</v>
      </c>
      <c r="M133" s="30" t="s">
        <v>41</v>
      </c>
      <c r="N133" s="62" t="str">
        <f>HYPERLINK("https://drive.google.com/open?id=180XHOhiTJnesiTTiOsD_4m-K_gvQLFFU","Leje dokumenti 05-351/02-0085841/18")</f>
        <v>Leje dokumenti 05-351/02-0085841/18</v>
      </c>
      <c r="O133" s="52" t="str">
        <f>HYPERLINK("https://drive.google.com/open?id=1qzz93DYnfpzLZFnSC3bHif1NU7I9xBvj","Situacioni")</f>
        <v>Situacioni</v>
      </c>
    </row>
    <row r="134" spans="1:15" ht="25.5" x14ac:dyDescent="0.2">
      <c r="A134" s="183">
        <v>128</v>
      </c>
      <c r="B134" s="115" t="s">
        <v>337</v>
      </c>
      <c r="C134" s="116" t="s">
        <v>333</v>
      </c>
      <c r="D134" s="29" t="s">
        <v>338</v>
      </c>
      <c r="E134" s="30" t="s">
        <v>338</v>
      </c>
      <c r="F134" s="30" t="s">
        <v>339</v>
      </c>
      <c r="G134" s="29" t="s">
        <v>317</v>
      </c>
      <c r="H134" s="4">
        <v>449.49</v>
      </c>
      <c r="I134" s="7">
        <v>0</v>
      </c>
      <c r="J134" s="7">
        <v>151.22</v>
      </c>
      <c r="K134" s="45">
        <f t="shared" si="6"/>
        <v>151.22</v>
      </c>
      <c r="L134" s="30" t="s">
        <v>340</v>
      </c>
      <c r="M134" s="30" t="s">
        <v>67</v>
      </c>
      <c r="N134" s="62" t="str">
        <f>HYPERLINK("https://drive.google.com/open?id=1gsNd4eoF_5uC3yzB5obJdp1TXMvtH70V","Leje dokumenti 05-351/02-0160769/17")</f>
        <v>Leje dokumenti 05-351/02-0160769/17</v>
      </c>
      <c r="O134" s="51" t="str">
        <f>HYPERLINK("https://drive.google.com/open?id=1vuaW-UdJ1v0Nscbe2N-t5RlNiLJICkae","Situacioni")</f>
        <v>Situacioni</v>
      </c>
    </row>
    <row r="135" spans="1:15" ht="25.5" x14ac:dyDescent="0.2">
      <c r="A135" s="183">
        <v>129</v>
      </c>
      <c r="B135" s="115" t="s">
        <v>275</v>
      </c>
      <c r="C135" s="116" t="s">
        <v>341</v>
      </c>
      <c r="D135" s="30" t="s">
        <v>342</v>
      </c>
      <c r="E135" s="30" t="s">
        <v>342</v>
      </c>
      <c r="F135" s="30" t="s">
        <v>343</v>
      </c>
      <c r="G135" s="29" t="s">
        <v>317</v>
      </c>
      <c r="H135" s="4">
        <v>593.02</v>
      </c>
      <c r="I135" s="7">
        <v>4128.33</v>
      </c>
      <c r="J135" s="7">
        <v>3854.63</v>
      </c>
      <c r="K135" s="45">
        <f t="shared" si="6"/>
        <v>7982.96</v>
      </c>
      <c r="L135" s="30" t="s">
        <v>40</v>
      </c>
      <c r="M135" s="30" t="s">
        <v>41</v>
      </c>
      <c r="N135" s="62" t="str">
        <f>HYPERLINK("https://drive.google.com/open?id=1bDCIdgJBPWM28u835SYWPRyRQqTDl1V1","Leja dokumenti 05-351/02-0103153/18")</f>
        <v>Leja dokumenti 05-351/02-0103153/18</v>
      </c>
      <c r="O135" s="62" t="str">
        <f>HYPERLINK("https://drive.google.com/open?id=18GWNsmrt6TFqfBe-4A88NtXURC5y5RPS","Situacioni")</f>
        <v>Situacioni</v>
      </c>
    </row>
    <row r="136" spans="1:15" ht="38.25" x14ac:dyDescent="0.2">
      <c r="A136" s="183">
        <v>130</v>
      </c>
      <c r="B136" s="115" t="s">
        <v>344</v>
      </c>
      <c r="C136" s="116" t="s">
        <v>345</v>
      </c>
      <c r="D136" s="29" t="s">
        <v>346</v>
      </c>
      <c r="E136" s="30" t="s">
        <v>346</v>
      </c>
      <c r="F136" s="31" t="s">
        <v>347</v>
      </c>
      <c r="G136" s="29" t="s">
        <v>103</v>
      </c>
      <c r="H136" s="4">
        <v>1123.32</v>
      </c>
      <c r="I136" s="7">
        <v>3545.93</v>
      </c>
      <c r="J136" s="7">
        <v>7343.86</v>
      </c>
      <c r="K136" s="45">
        <f t="shared" si="6"/>
        <v>10889.789999999999</v>
      </c>
      <c r="L136" s="30" t="s">
        <v>348</v>
      </c>
      <c r="M136" s="30" t="s">
        <v>67</v>
      </c>
      <c r="N136" s="62" t="str">
        <f>HYPERLINK("https://drive.google.com/open?id=1mnh9TP-wqXv9bfXvqK_6wKz1q-6geVyA","Leje dokumenti 05-351/02-0076464/18")</f>
        <v>Leje dokumenti 05-351/02-0076464/18</v>
      </c>
      <c r="O136" s="62" t="str">
        <f>HYPERLINK("https://drive.google.com/open?id=1eBpo_iBDROl3ADRS0kd8FmuL046_GE58","Situacioni")</f>
        <v>Situacioni</v>
      </c>
    </row>
    <row r="137" spans="1:15" ht="25.5" x14ac:dyDescent="0.2">
      <c r="A137" s="183">
        <v>131</v>
      </c>
      <c r="B137" s="115" t="s">
        <v>349</v>
      </c>
      <c r="C137" s="116" t="s">
        <v>345</v>
      </c>
      <c r="D137" s="30" t="s">
        <v>350</v>
      </c>
      <c r="E137" s="30" t="s">
        <v>350</v>
      </c>
      <c r="F137" s="30" t="s">
        <v>332</v>
      </c>
      <c r="G137" s="29" t="s">
        <v>186</v>
      </c>
      <c r="H137" s="4">
        <v>449</v>
      </c>
      <c r="I137" s="7">
        <v>1384.6</v>
      </c>
      <c r="J137" s="7">
        <v>2918.5</v>
      </c>
      <c r="K137" s="45">
        <f t="shared" si="6"/>
        <v>4303.1000000000004</v>
      </c>
      <c r="L137" s="30" t="s">
        <v>322</v>
      </c>
      <c r="M137" s="30" t="s">
        <v>67</v>
      </c>
      <c r="N137" s="62" t="str">
        <f>HYPERLINK("https://drive.google.com/open?id=1Sq9uVytYhaPfnc0R6XLIgWO1jYskm7To","Leja dokumenti 05-351/02-0064796/18")</f>
        <v>Leja dokumenti 05-351/02-0064796/18</v>
      </c>
      <c r="O137" s="52" t="str">
        <f>HYPERLINK("https://drive.google.com/open?id=1TtwpzzVZbmm_nhwZGaqVw7TThFqg0kdz","Situacioni")</f>
        <v>Situacioni</v>
      </c>
    </row>
    <row r="138" spans="1:15" ht="25.5" x14ac:dyDescent="0.2">
      <c r="A138" s="183">
        <v>132</v>
      </c>
      <c r="B138" s="115" t="s">
        <v>351</v>
      </c>
      <c r="C138" s="116" t="s">
        <v>352</v>
      </c>
      <c r="D138" s="29" t="s">
        <v>353</v>
      </c>
      <c r="E138" s="30" t="s">
        <v>353</v>
      </c>
      <c r="F138" s="30" t="s">
        <v>354</v>
      </c>
      <c r="G138" s="29" t="s">
        <v>186</v>
      </c>
      <c r="H138" s="4">
        <v>187.9</v>
      </c>
      <c r="I138" s="7">
        <v>1221.3399999999999</v>
      </c>
      <c r="J138" s="7">
        <v>640.11</v>
      </c>
      <c r="K138" s="45">
        <f t="shared" si="6"/>
        <v>1861.4499999999998</v>
      </c>
      <c r="L138" s="30" t="s">
        <v>33</v>
      </c>
      <c r="M138" s="30" t="s">
        <v>41</v>
      </c>
      <c r="N138" s="62" t="str">
        <f>HYPERLINK("https://drive.google.com/open?id=1zdy0su2Z-_G3FUHceoAw3PW_Jk7VWscI","Leja dokumenti 05-351/02-0057735/18")</f>
        <v>Leja dokumenti 05-351/02-0057735/18</v>
      </c>
      <c r="O138" s="51" t="str">
        <f>HYPERLINK("https://drive.google.com/open?id=1wb0FoQQuqeN2Nj2vyjzXNx7jnGKsAsL2","Situacioni")</f>
        <v>Situacioni</v>
      </c>
    </row>
    <row r="139" spans="1:15" ht="114.75" x14ac:dyDescent="0.2">
      <c r="A139" s="183">
        <v>133</v>
      </c>
      <c r="B139" s="115" t="s">
        <v>355</v>
      </c>
      <c r="C139" s="116" t="s">
        <v>352</v>
      </c>
      <c r="D139" s="30" t="s">
        <v>356</v>
      </c>
      <c r="E139" s="30" t="s">
        <v>357</v>
      </c>
      <c r="F139" s="30" t="s">
        <v>358</v>
      </c>
      <c r="G139" s="29" t="s">
        <v>25</v>
      </c>
      <c r="H139" s="4">
        <v>19800.7</v>
      </c>
      <c r="I139" s="7">
        <v>109524.4</v>
      </c>
      <c r="J139" s="7">
        <v>129099.5</v>
      </c>
      <c r="K139" s="143">
        <f t="shared" si="6"/>
        <v>238623.9</v>
      </c>
      <c r="L139" s="30" t="s">
        <v>359</v>
      </c>
      <c r="M139" s="30" t="s">
        <v>55</v>
      </c>
      <c r="N139" s="62" t="str">
        <f>HYPERLINK("https://drive.google.com/open?id=1bjnL_Jcvgf8B6sB9v4Ydrcg2qnh2bZZO","Leja dokumenti05-351/02-0078489/18")</f>
        <v>Leja dokumenti05-351/02-0078489/18</v>
      </c>
      <c r="O139" s="52" t="str">
        <f>HYPERLINK("https://drive.google.com/open?id=1bIo98NP1s6DvETOQKffO01XTd4l7QMdU","Situacioni")</f>
        <v>Situacioni</v>
      </c>
    </row>
    <row r="140" spans="1:15" ht="38.25" x14ac:dyDescent="0.2">
      <c r="A140" s="183">
        <v>134</v>
      </c>
      <c r="B140" s="115" t="s">
        <v>360</v>
      </c>
      <c r="C140" s="116" t="s">
        <v>361</v>
      </c>
      <c r="D140" s="29" t="s">
        <v>362</v>
      </c>
      <c r="E140" s="30" t="s">
        <v>363</v>
      </c>
      <c r="F140" s="30" t="s">
        <v>364</v>
      </c>
      <c r="G140" s="29" t="s">
        <v>25</v>
      </c>
      <c r="H140" s="4">
        <v>8749.9</v>
      </c>
      <c r="I140" s="152">
        <v>40174.22</v>
      </c>
      <c r="J140" s="152">
        <v>57060.44</v>
      </c>
      <c r="K140" s="45">
        <f t="shared" si="6"/>
        <v>97234.66</v>
      </c>
      <c r="L140" s="30" t="s">
        <v>365</v>
      </c>
      <c r="M140" s="30" t="s">
        <v>55</v>
      </c>
      <c r="N140" s="62" t="str">
        <f>HYPERLINK("https://drive.google.com/open?id=1wD6gAycKuyud4nchAlDvccwqgV3zcSWv","Leja dokumenti 05-351/02-0055579/18")</f>
        <v>Leja dokumenti 05-351/02-0055579/18</v>
      </c>
      <c r="O140" s="51" t="str">
        <f>HYPERLINK("https://drive.google.com/open?id=12YPkoQqoOsmVS_JGx8u8fZ9TbKNfGvkN","Situacioni")</f>
        <v>Situacioni</v>
      </c>
    </row>
    <row r="141" spans="1:15" ht="25.5" x14ac:dyDescent="0.2">
      <c r="A141" s="183">
        <v>135</v>
      </c>
      <c r="B141" s="115" t="s">
        <v>366</v>
      </c>
      <c r="C141" s="118" t="s">
        <v>367</v>
      </c>
      <c r="D141" s="29" t="s">
        <v>368</v>
      </c>
      <c r="E141" s="30" t="s">
        <v>368</v>
      </c>
      <c r="F141" s="30" t="s">
        <v>369</v>
      </c>
      <c r="G141" s="46" t="s">
        <v>32</v>
      </c>
      <c r="H141" s="4">
        <v>82.45</v>
      </c>
      <c r="I141" s="7">
        <v>0</v>
      </c>
      <c r="J141" s="7">
        <v>535.92999999999995</v>
      </c>
      <c r="K141" s="45">
        <f t="shared" si="6"/>
        <v>535.92999999999995</v>
      </c>
      <c r="L141" s="30" t="s">
        <v>20</v>
      </c>
      <c r="M141" s="30" t="s">
        <v>34</v>
      </c>
      <c r="N141" s="62" t="str">
        <f>HYPERLINK("https://drive.google.com/open?id=1439DQiLv1Yxub0u7OBn6s7FR1p8VKLwE","Leje dokumenti 05-351/02-0098416/18")</f>
        <v>Leje dokumenti 05-351/02-0098416/18</v>
      </c>
      <c r="O141" s="62" t="str">
        <f>HYPERLINK("https://drive.google.com/open?id=1ZjFTgk-fcQrZb_K16bDb6aeGd_dRUtJ1","Situacioni")</f>
        <v>Situacioni</v>
      </c>
    </row>
    <row r="142" spans="1:15" ht="51" x14ac:dyDescent="0.2">
      <c r="A142" s="183">
        <v>136</v>
      </c>
      <c r="B142" s="115" t="s">
        <v>99</v>
      </c>
      <c r="C142" s="116" t="s">
        <v>367</v>
      </c>
      <c r="D142" s="30" t="s">
        <v>370</v>
      </c>
      <c r="E142" s="32" t="s">
        <v>371</v>
      </c>
      <c r="F142" s="30" t="s">
        <v>372</v>
      </c>
      <c r="G142" s="32" t="s">
        <v>373</v>
      </c>
      <c r="H142" s="4">
        <v>11135.38</v>
      </c>
      <c r="I142" s="7">
        <v>54802.16</v>
      </c>
      <c r="J142" s="7">
        <v>72388.84</v>
      </c>
      <c r="K142" s="45">
        <f t="shared" si="6"/>
        <v>127191</v>
      </c>
      <c r="L142" s="30" t="s">
        <v>374</v>
      </c>
      <c r="M142" s="30" t="s">
        <v>194</v>
      </c>
      <c r="N142" s="62" t="str">
        <f>HYPERLINK("https://drive.google.com/open?id=1uNhDb6Z1_w5OqjaMFj8_-c5OgbXKDeFW","Leja dokumenti 05-351/02-0008455/18")</f>
        <v>Leja dokumenti 05-351/02-0008455/18</v>
      </c>
      <c r="O142" s="62" t="str">
        <f>HYPERLINK("https://drive.google.com/open?id=1KFkxWVgdXXuO-ph4uzmSboplnqOxkJZA","Situacioni")</f>
        <v>Situacioni</v>
      </c>
    </row>
    <row r="143" spans="1:15" ht="25.5" x14ac:dyDescent="0.2">
      <c r="A143" s="183">
        <v>137</v>
      </c>
      <c r="B143" s="115" t="s">
        <v>302</v>
      </c>
      <c r="C143" s="116" t="s">
        <v>375</v>
      </c>
      <c r="D143" s="29" t="s">
        <v>376</v>
      </c>
      <c r="E143" s="30" t="s">
        <v>376</v>
      </c>
      <c r="F143" s="30" t="s">
        <v>377</v>
      </c>
      <c r="G143" s="29" t="s">
        <v>378</v>
      </c>
      <c r="H143" s="4">
        <v>240</v>
      </c>
      <c r="I143" s="7" t="s">
        <v>127</v>
      </c>
      <c r="J143" s="7" t="s">
        <v>127</v>
      </c>
      <c r="K143" s="27" t="s">
        <v>127</v>
      </c>
      <c r="L143" s="30" t="s">
        <v>20</v>
      </c>
      <c r="M143" s="30" t="s">
        <v>21</v>
      </c>
      <c r="N143" s="62" t="str">
        <f>HYPERLINK("https://drive.google.com/open?id=1_3XidNph5buqAZdOTtt167GKf6NlZIpF","Leja dokumenti 05-35/02-0050342/18")</f>
        <v>Leja dokumenti 05-35/02-0050342/18</v>
      </c>
      <c r="O143" s="62" t="str">
        <f>HYPERLINK("https://drive.google.com/open?id=1lnS_icITscXqcxS9Vd9EW33mMWjOHB8N","Situacioni")</f>
        <v>Situacioni</v>
      </c>
    </row>
    <row r="144" spans="1:15" ht="38.25" x14ac:dyDescent="0.2">
      <c r="A144" s="183">
        <v>138</v>
      </c>
      <c r="B144" s="115" t="s">
        <v>379</v>
      </c>
      <c r="C144" s="116" t="s">
        <v>375</v>
      </c>
      <c r="D144" s="31" t="s">
        <v>380</v>
      </c>
      <c r="E144" s="31" t="s">
        <v>380</v>
      </c>
      <c r="F144" s="30" t="s">
        <v>72</v>
      </c>
      <c r="G144" s="32" t="s">
        <v>373</v>
      </c>
      <c r="H144" s="4" t="s">
        <v>72</v>
      </c>
      <c r="I144" s="7">
        <v>0</v>
      </c>
      <c r="J144" s="7">
        <v>1553.27</v>
      </c>
      <c r="K144" s="27">
        <f>I144+J144</f>
        <v>1553.27</v>
      </c>
      <c r="L144" s="30"/>
      <c r="M144" s="30" t="s">
        <v>381</v>
      </c>
      <c r="N144" s="62" t="str">
        <f>HYPERLINK("https://drive.google.com/open?id=1aQuxhixcFeqvlYo6wLEcVMMCBV4M9t2D","Leja dokumenti 05-354/03-0094607/18")</f>
        <v>Leja dokumenti 05-354/03-0094607/18</v>
      </c>
      <c r="O144" s="62" t="str">
        <f>HYPERLINK("https://drive.google.com/open?id=1YHTNVEJqymsRlwXRgATxXNVBtzV6urvr","Situacioni")</f>
        <v>Situacioni</v>
      </c>
    </row>
    <row r="145" spans="1:17" ht="12.75" customHeight="1" x14ac:dyDescent="0.2">
      <c r="A145" s="184">
        <v>139</v>
      </c>
      <c r="B145" s="186" t="s">
        <v>262</v>
      </c>
      <c r="C145" s="188" t="s">
        <v>263</v>
      </c>
      <c r="D145" s="190" t="s">
        <v>204</v>
      </c>
      <c r="E145" s="190" t="s">
        <v>205</v>
      </c>
      <c r="F145" s="190" t="s">
        <v>88</v>
      </c>
      <c r="G145" s="200" t="s">
        <v>206</v>
      </c>
      <c r="H145" s="192">
        <v>14657.7</v>
      </c>
      <c r="I145" s="7">
        <v>47019.12</v>
      </c>
      <c r="J145" s="7">
        <v>49838.1</v>
      </c>
      <c r="K145" s="194">
        <f>I145+J145+I146+J146</f>
        <v>182823.97</v>
      </c>
      <c r="L145" s="203" t="s">
        <v>207</v>
      </c>
      <c r="M145" s="203" t="s">
        <v>27</v>
      </c>
      <c r="N145" s="185" t="str">
        <f>HYPERLINK("https://drive.google.com/open?id=11XOd3NtUjx6eePdHtFW0mAOytC7LCp1H","Leja dokumenti 05-351/02-0260903/17")</f>
        <v>Leja dokumenti 05-351/02-0260903/17</v>
      </c>
      <c r="O145" s="185" t="str">
        <f>HYPERLINK("https://drive.google.com/open?id=1gPzJTlxPYU4YxppFtGbFlgMtN8dDBVAc","Situacioni")</f>
        <v>Situacioni</v>
      </c>
    </row>
    <row r="146" spans="1:17" ht="12.75" customHeight="1" x14ac:dyDescent="0.2">
      <c r="A146" s="184"/>
      <c r="B146" s="187"/>
      <c r="C146" s="189"/>
      <c r="D146" s="191"/>
      <c r="E146" s="191"/>
      <c r="F146" s="191"/>
      <c r="G146" s="191"/>
      <c r="H146" s="193"/>
      <c r="I146" s="7">
        <v>40529.15</v>
      </c>
      <c r="J146" s="7">
        <v>45437.599999999999</v>
      </c>
      <c r="K146" s="230"/>
      <c r="L146" s="203"/>
      <c r="M146" s="203"/>
      <c r="N146" s="185"/>
      <c r="O146" s="185"/>
    </row>
    <row r="147" spans="1:17" ht="64.5" thickBot="1" x14ac:dyDescent="0.25">
      <c r="A147" s="183">
        <v>140</v>
      </c>
      <c r="B147" s="119" t="s">
        <v>264</v>
      </c>
      <c r="C147" s="120" t="s">
        <v>265</v>
      </c>
      <c r="D147" s="56" t="s">
        <v>208</v>
      </c>
      <c r="E147" s="56" t="s">
        <v>209</v>
      </c>
      <c r="F147" s="56" t="s">
        <v>210</v>
      </c>
      <c r="G147" s="56" t="s">
        <v>39</v>
      </c>
      <c r="H147" s="53">
        <v>4218.7</v>
      </c>
      <c r="I147" s="55">
        <v>22012.560000000001</v>
      </c>
      <c r="J147" s="155">
        <v>27421.55</v>
      </c>
      <c r="K147" s="161">
        <f t="shared" ref="K147:K154" si="7">I147+J147</f>
        <v>49434.11</v>
      </c>
      <c r="L147" s="158" t="s">
        <v>211</v>
      </c>
      <c r="M147" s="56" t="s">
        <v>55</v>
      </c>
      <c r="N147" s="65" t="str">
        <f>HYPERLINK("https://drive.google.com/open?id=1cGoMqyAZdCGChqQHXUw11Ae-L3rZm_px","Leja dokumenti 05-351/02-0191009/17")</f>
        <v>Leja dokumenti 05-351/02-0191009/17</v>
      </c>
      <c r="O147" s="65" t="str">
        <f>HYPERLINK("https://drive.google.com/open?id=1pck5X4rLBvyPtERbhH31wQfQghJmsgY1","Situacioni")</f>
        <v>Situacioni</v>
      </c>
    </row>
    <row r="148" spans="1:17" ht="26.25" thickBot="1" x14ac:dyDescent="0.25">
      <c r="A148" s="183">
        <v>141</v>
      </c>
      <c r="B148" s="131" t="s">
        <v>274</v>
      </c>
      <c r="C148" s="132" t="s">
        <v>732</v>
      </c>
      <c r="D148" s="68" t="s">
        <v>497</v>
      </c>
      <c r="E148" s="68" t="s">
        <v>497</v>
      </c>
      <c r="F148" s="68" t="s">
        <v>72</v>
      </c>
      <c r="G148" s="68" t="s">
        <v>498</v>
      </c>
      <c r="H148" s="68" t="s">
        <v>72</v>
      </c>
      <c r="I148" s="69">
        <v>0</v>
      </c>
      <c r="J148" s="156">
        <v>1637.67</v>
      </c>
      <c r="K148" s="161">
        <f t="shared" si="7"/>
        <v>1637.67</v>
      </c>
      <c r="L148" s="159" t="s">
        <v>499</v>
      </c>
      <c r="M148" s="68" t="s">
        <v>381</v>
      </c>
      <c r="N148" s="70" t="s">
        <v>500</v>
      </c>
      <c r="O148" s="70" t="s">
        <v>14</v>
      </c>
      <c r="P148" s="64"/>
      <c r="Q148" s="63"/>
    </row>
    <row r="149" spans="1:17" ht="25.5" x14ac:dyDescent="0.2">
      <c r="A149" s="183">
        <v>142</v>
      </c>
      <c r="B149" s="121" t="s">
        <v>266</v>
      </c>
      <c r="C149" s="122" t="s">
        <v>265</v>
      </c>
      <c r="D149" s="57" t="s">
        <v>212</v>
      </c>
      <c r="E149" s="57" t="s">
        <v>212</v>
      </c>
      <c r="F149" s="57" t="s">
        <v>213</v>
      </c>
      <c r="G149" s="57" t="s">
        <v>95</v>
      </c>
      <c r="H149" s="54">
        <v>303.27</v>
      </c>
      <c r="I149" s="66">
        <v>1028.45</v>
      </c>
      <c r="J149" s="157">
        <v>1971.26</v>
      </c>
      <c r="K149" s="161">
        <f t="shared" si="7"/>
        <v>2999.71</v>
      </c>
      <c r="L149" s="160" t="s">
        <v>40</v>
      </c>
      <c r="M149" s="57" t="s">
        <v>214</v>
      </c>
      <c r="N149" s="67" t="str">
        <f>HYPERLINK("https://drive.google.com/open?id=1-WqF7H5ZZSMkW3WnppAWOM3QOarVWeGo","Leja dokumenti 05-351/02-0082122/18")</f>
        <v>Leja dokumenti 05-351/02-0082122/18</v>
      </c>
      <c r="O149" s="67" t="str">
        <f>HYPERLINK("https://drive.google.com/open?id=1o7wpe85i3Kn3XUzlLoSJRLVEAI54TQsl","Situacioni")</f>
        <v>Situacioni</v>
      </c>
    </row>
    <row r="150" spans="1:17" ht="140.25" x14ac:dyDescent="0.2">
      <c r="A150" s="183">
        <v>143</v>
      </c>
      <c r="B150" s="123" t="s">
        <v>267</v>
      </c>
      <c r="C150" s="124" t="s">
        <v>268</v>
      </c>
      <c r="D150" s="25" t="s">
        <v>215</v>
      </c>
      <c r="E150" s="25" t="s">
        <v>216</v>
      </c>
      <c r="F150" s="25" t="s">
        <v>217</v>
      </c>
      <c r="G150" s="25" t="s">
        <v>53</v>
      </c>
      <c r="H150" s="4">
        <v>6358.1</v>
      </c>
      <c r="I150" s="7">
        <v>25739.919999999998</v>
      </c>
      <c r="J150" s="7">
        <v>41327.65</v>
      </c>
      <c r="K150" s="74">
        <f t="shared" si="7"/>
        <v>67067.570000000007</v>
      </c>
      <c r="L150" s="25" t="s">
        <v>218</v>
      </c>
      <c r="M150" s="25" t="s">
        <v>55</v>
      </c>
      <c r="N150" s="52" t="str">
        <f>HYPERLINK("https://drive.google.com/open?id=1KcQmO0p8vmW9JPTo5cmpMOgJb4084mZ4","Leja dokumenti 05-035-222249")</f>
        <v>Leja dokumenti 05-035-222249</v>
      </c>
      <c r="O150" s="52" t="str">
        <f>HYPERLINK("https://drive.google.com/open?id=1BEIS1prAekJNkWsv7K4g58Md8SZbVGqx","Situacioni")</f>
        <v>Situacioni</v>
      </c>
    </row>
    <row r="151" spans="1:17" ht="25.5" x14ac:dyDescent="0.2">
      <c r="A151" s="183">
        <v>144</v>
      </c>
      <c r="B151" s="123" t="s">
        <v>269</v>
      </c>
      <c r="C151" s="124" t="s">
        <v>270</v>
      </c>
      <c r="D151" s="25" t="s">
        <v>219</v>
      </c>
      <c r="E151" s="25" t="s">
        <v>219</v>
      </c>
      <c r="F151" s="25" t="s">
        <v>220</v>
      </c>
      <c r="G151" s="25" t="s">
        <v>65</v>
      </c>
      <c r="H151" s="4">
        <v>195.4</v>
      </c>
      <c r="I151" s="7">
        <v>694.49</v>
      </c>
      <c r="J151" s="7">
        <v>1270.0999999999999</v>
      </c>
      <c r="K151" s="27">
        <f t="shared" si="7"/>
        <v>1964.59</v>
      </c>
      <c r="L151" s="25" t="s">
        <v>33</v>
      </c>
      <c r="M151" s="25" t="s">
        <v>214</v>
      </c>
      <c r="N151" s="52" t="str">
        <f>HYPERLINK("https://drive.google.com/open?id=15iAV-byaM6LTR6QeFRocN_D1wlyiseat","Leja dokumenti 05-351/02-0025898/18")</f>
        <v>Leja dokumenti 05-351/02-0025898/18</v>
      </c>
      <c r="O151" s="52" t="str">
        <f>HYPERLINK("https://drive.google.com/open?id=1CcScWYAifLVe6nmYfEldiZV0R7e8asKd","Situacioni")</f>
        <v>Situacioni</v>
      </c>
    </row>
    <row r="152" spans="1:17" ht="25.5" x14ac:dyDescent="0.2">
      <c r="A152" s="183">
        <v>145</v>
      </c>
      <c r="B152" s="123" t="s">
        <v>271</v>
      </c>
      <c r="C152" s="124" t="s">
        <v>272</v>
      </c>
      <c r="D152" s="25" t="s">
        <v>221</v>
      </c>
      <c r="E152" s="25" t="s">
        <v>221</v>
      </c>
      <c r="F152" s="25" t="s">
        <v>222</v>
      </c>
      <c r="G152" s="25" t="s">
        <v>47</v>
      </c>
      <c r="H152" s="4">
        <v>141.83000000000001</v>
      </c>
      <c r="I152" s="7">
        <v>513.08000000000004</v>
      </c>
      <c r="J152" s="7">
        <v>1179.43</v>
      </c>
      <c r="K152" s="27">
        <f t="shared" si="7"/>
        <v>1692.5100000000002</v>
      </c>
      <c r="L152" s="25" t="s">
        <v>40</v>
      </c>
      <c r="M152" s="25" t="s">
        <v>214</v>
      </c>
      <c r="N152" s="52" t="str">
        <f>HYPERLINK("https://drive.google.com/open?id=1BBMq2HwET6Mw5Ln4s5r92lYqATiXALix","Leja dokumenti 05-351/02-0023455/18")</f>
        <v>Leja dokumenti 05-351/02-0023455/18</v>
      </c>
      <c r="O152" s="52" t="str">
        <f>HYPERLINK("https://drive.google.com/open?id=1nbgO8rzMQx5pmzi-QgnMp5ks4fGD2-SL","Situacioni")</f>
        <v>Situacioni</v>
      </c>
    </row>
    <row r="153" spans="1:17" ht="25.5" x14ac:dyDescent="0.2">
      <c r="A153" s="183">
        <v>146</v>
      </c>
      <c r="B153" s="123" t="s">
        <v>273</v>
      </c>
      <c r="C153" s="124" t="s">
        <v>272</v>
      </c>
      <c r="D153" s="25" t="s">
        <v>223</v>
      </c>
      <c r="E153" s="25" t="s">
        <v>223</v>
      </c>
      <c r="F153" s="25" t="s">
        <v>224</v>
      </c>
      <c r="G153" s="25" t="s">
        <v>119</v>
      </c>
      <c r="H153" s="4">
        <v>3106.27</v>
      </c>
      <c r="I153" s="7">
        <v>16142.02</v>
      </c>
      <c r="J153" s="7">
        <v>20366</v>
      </c>
      <c r="K153" s="27">
        <f t="shared" si="7"/>
        <v>36508.020000000004</v>
      </c>
      <c r="L153" s="25" t="s">
        <v>54</v>
      </c>
      <c r="M153" s="25" t="s">
        <v>55</v>
      </c>
      <c r="N153" s="52" t="str">
        <f>HYPERLINK("https://drive.google.com/open?id=1gdTb1MomYmUealZzaf4uKXCnEO72uYx9","Leja dokumenti 05-351/02-45817/17")</f>
        <v>Leja dokumenti 05-351/02-45817/17</v>
      </c>
      <c r="O153" s="52" t="str">
        <f>HYPERLINK("https://drive.google.com/open?id=12AH2RkCk-IJz_kUVEhlzR3gu4HsmSaMI","Situacioni")</f>
        <v>Situacioni</v>
      </c>
    </row>
    <row r="154" spans="1:17" ht="25.5" x14ac:dyDescent="0.2">
      <c r="A154" s="183">
        <v>147</v>
      </c>
      <c r="B154" s="123" t="s">
        <v>100</v>
      </c>
      <c r="C154" s="124" t="s">
        <v>274</v>
      </c>
      <c r="D154" s="25" t="s">
        <v>225</v>
      </c>
      <c r="E154" s="25" t="s">
        <v>225</v>
      </c>
      <c r="F154" s="25" t="s">
        <v>226</v>
      </c>
      <c r="G154" s="25" t="s">
        <v>227</v>
      </c>
      <c r="H154" s="4">
        <v>135.24</v>
      </c>
      <c r="I154" s="7">
        <v>469.72</v>
      </c>
      <c r="J154" s="7">
        <v>879.06</v>
      </c>
      <c r="K154" s="27">
        <f t="shared" si="7"/>
        <v>1348.78</v>
      </c>
      <c r="L154" s="25" t="s">
        <v>20</v>
      </c>
      <c r="M154" s="25" t="s">
        <v>214</v>
      </c>
      <c r="N154" s="52" t="str">
        <f>HYPERLINK("https://drive.google.com/open?id=1tc-UKeP3Hbi7Ptr75-PEJc2IsdILT_nz","Leja dokumenti 05-351/02-0052934/18")</f>
        <v>Leja dokumenti 05-351/02-0052934/18</v>
      </c>
      <c r="O154" s="52" t="str">
        <f>HYPERLINK("https://drive.google.com/open?id=1g5I5_zB1f-xO_BKZr9xx1CKe-6YVJVlj","Situacioni")</f>
        <v>Situacioni</v>
      </c>
    </row>
    <row r="155" spans="1:17" ht="25.5" x14ac:dyDescent="0.2">
      <c r="A155" s="183">
        <v>148</v>
      </c>
      <c r="B155" s="123" t="s">
        <v>57</v>
      </c>
      <c r="C155" s="124" t="s">
        <v>275</v>
      </c>
      <c r="D155" s="25" t="s">
        <v>228</v>
      </c>
      <c r="E155" s="25" t="s">
        <v>228</v>
      </c>
      <c r="F155" s="25" t="s">
        <v>229</v>
      </c>
      <c r="G155" s="25" t="s">
        <v>39</v>
      </c>
      <c r="H155" s="4">
        <v>195.15</v>
      </c>
      <c r="I155" s="7" t="s">
        <v>127</v>
      </c>
      <c r="J155" s="7" t="s">
        <v>127</v>
      </c>
      <c r="K155" s="27" t="s">
        <v>127</v>
      </c>
      <c r="L155" s="25" t="s">
        <v>230</v>
      </c>
      <c r="M155" s="25" t="s">
        <v>214</v>
      </c>
      <c r="N155" s="52" t="str">
        <f>HYPERLINK("https://drive.google.com/open?id=1cu9IGNjsaAD_30K7bTDUK93tADDhAf0k","Leja dokumenti 05-351/02-0066801/18")</f>
        <v>Leja dokumenti 05-351/02-0066801/18</v>
      </c>
      <c r="O155" s="52" t="str">
        <f>HYPERLINK("https://drive.google.com/open?id=1wijCx9hfSVQ04nf0fBkLj4hk7_IANk7V","Situacioni")</f>
        <v>Situacioni</v>
      </c>
    </row>
    <row r="156" spans="1:17" ht="25.5" x14ac:dyDescent="0.2">
      <c r="A156" s="183">
        <v>149</v>
      </c>
      <c r="B156" s="123" t="s">
        <v>29</v>
      </c>
      <c r="C156" s="124" t="s">
        <v>22</v>
      </c>
      <c r="D156" s="25" t="s">
        <v>231</v>
      </c>
      <c r="E156" s="25" t="s">
        <v>231</v>
      </c>
      <c r="F156" s="25" t="s">
        <v>232</v>
      </c>
      <c r="G156" s="25" t="s">
        <v>233</v>
      </c>
      <c r="H156" s="4">
        <v>75</v>
      </c>
      <c r="I156" s="7">
        <v>0</v>
      </c>
      <c r="J156" s="7">
        <v>2368.34</v>
      </c>
      <c r="K156" s="27">
        <f t="shared" ref="K156:K158" si="8">I156+J156</f>
        <v>2368.34</v>
      </c>
      <c r="L156" s="25" t="s">
        <v>40</v>
      </c>
      <c r="M156" s="25" t="s">
        <v>157</v>
      </c>
      <c r="N156" s="52" t="str">
        <f>HYPERLINK("https://drive.google.com/open?id=1dh3EIbYElilpeIKxTb9gg-fBnt5qEzGD","Leja dokumenti 05-351/02-0071911/18")</f>
        <v>Leja dokumenti 05-351/02-0071911/18</v>
      </c>
      <c r="O156" s="52" t="str">
        <f>HYPERLINK("https://drive.google.com/open?id=19AuenKv05y6QUpuQ6wd_etuP6yDUf706","Situacioni")</f>
        <v>Situacioni</v>
      </c>
    </row>
    <row r="157" spans="1:17" ht="25.5" x14ac:dyDescent="0.2">
      <c r="A157" s="183">
        <v>150</v>
      </c>
      <c r="B157" s="123" t="s">
        <v>135</v>
      </c>
      <c r="C157" s="124" t="s">
        <v>276</v>
      </c>
      <c r="D157" s="25" t="s">
        <v>234</v>
      </c>
      <c r="E157" s="25" t="s">
        <v>234</v>
      </c>
      <c r="F157" s="25" t="s">
        <v>235</v>
      </c>
      <c r="G157" s="25" t="s">
        <v>186</v>
      </c>
      <c r="H157" s="4">
        <v>1017</v>
      </c>
      <c r="I157" s="7">
        <v>108.13</v>
      </c>
      <c r="J157" s="7">
        <v>6610.5</v>
      </c>
      <c r="K157" s="27">
        <f t="shared" si="8"/>
        <v>6718.63</v>
      </c>
      <c r="L157" s="25" t="s">
        <v>40</v>
      </c>
      <c r="M157" s="25" t="s">
        <v>34</v>
      </c>
      <c r="N157" s="52" t="str">
        <f>HYPERLINK("https://drive.google.com/open?id=1zIYXTWK5Ct6xaKrVAdqdeLpRtFzj6SF5","Leja dokumenti 05-351/02-0035201/18")</f>
        <v>Leja dokumenti 05-351/02-0035201/18</v>
      </c>
      <c r="O157" s="52" t="str">
        <f>HYPERLINK("https://drive.google.com/open?id=1lonfRuOXQJaPrV3G-pfR9xFyolcMklVP","Situacioni")</f>
        <v>Situacioni</v>
      </c>
    </row>
    <row r="158" spans="1:17" ht="63.75" x14ac:dyDescent="0.2">
      <c r="A158" s="183">
        <v>151</v>
      </c>
      <c r="B158" s="123" t="s">
        <v>277</v>
      </c>
      <c r="C158" s="124" t="s">
        <v>276</v>
      </c>
      <c r="D158" s="25" t="s">
        <v>236</v>
      </c>
      <c r="E158" s="25" t="s">
        <v>237</v>
      </c>
      <c r="F158" s="25" t="s">
        <v>237</v>
      </c>
      <c r="G158" s="25" t="s">
        <v>25</v>
      </c>
      <c r="H158" s="4">
        <v>9176.9</v>
      </c>
      <c r="I158" s="7">
        <v>56756.74</v>
      </c>
      <c r="J158" s="7">
        <v>59649.85</v>
      </c>
      <c r="K158" s="27">
        <f t="shared" si="8"/>
        <v>116406.59</v>
      </c>
      <c r="L158" s="25" t="s">
        <v>238</v>
      </c>
      <c r="M158" s="25" t="s">
        <v>27</v>
      </c>
      <c r="N158" s="52" t="str">
        <f>HYPERLINK("https://drive.google.com/open?id=1Zz6I_yJaZGbcpkFTKTu2z5K1ekuHeFho","Leja dokumenti 05-351/02-0026913/18")</f>
        <v>Leja dokumenti 05-351/02-0026913/18</v>
      </c>
      <c r="O158" s="52" t="str">
        <f>HYPERLINK("https://drive.google.com/open?id=19Wfy9nDB0i35-KMLjyeOqbvr-u311sYP","Situacioni")</f>
        <v>Situacioni</v>
      </c>
    </row>
    <row r="159" spans="1:17" ht="51" x14ac:dyDescent="0.2">
      <c r="A159" s="183">
        <v>152</v>
      </c>
      <c r="B159" s="123" t="s">
        <v>278</v>
      </c>
      <c r="C159" s="124" t="s">
        <v>279</v>
      </c>
      <c r="D159" s="25" t="s">
        <v>239</v>
      </c>
      <c r="E159" s="25" t="s">
        <v>240</v>
      </c>
      <c r="F159" s="25" t="s">
        <v>241</v>
      </c>
      <c r="G159" s="25" t="s">
        <v>39</v>
      </c>
      <c r="H159" s="4">
        <v>5753.94</v>
      </c>
      <c r="I159" s="7" t="s">
        <v>127</v>
      </c>
      <c r="J159" s="7" t="s">
        <v>127</v>
      </c>
      <c r="K159" s="27" t="s">
        <v>127</v>
      </c>
      <c r="L159" s="25" t="s">
        <v>242</v>
      </c>
      <c r="M159" s="25" t="s">
        <v>243</v>
      </c>
      <c r="N159" s="52" t="str">
        <f>HYPERLINK("https://drive.google.com/open?id=1McP2s1DxWY8SkyogLhnwBDIZZDJX-13U","Leja dokumenti 05-351/02-0277279/17")</f>
        <v>Leja dokumenti 05-351/02-0277279/17</v>
      </c>
      <c r="O159" s="52" t="str">
        <f>HYPERLINK("https://drive.google.com/open?id=194t2IQPNIgKud_LHHpGi6_-UorqPOYGA","Situacioni")</f>
        <v>Situacioni</v>
      </c>
    </row>
    <row r="160" spans="1:17" ht="25.5" x14ac:dyDescent="0.2">
      <c r="A160" s="183">
        <v>153</v>
      </c>
      <c r="B160" s="123" t="s">
        <v>280</v>
      </c>
      <c r="C160" s="124" t="s">
        <v>281</v>
      </c>
      <c r="D160" s="25" t="s">
        <v>244</v>
      </c>
      <c r="E160" s="25" t="s">
        <v>244</v>
      </c>
      <c r="F160" s="25" t="s">
        <v>245</v>
      </c>
      <c r="G160" s="25" t="s">
        <v>246</v>
      </c>
      <c r="H160" s="4">
        <v>238.6</v>
      </c>
      <c r="I160" s="7">
        <v>801.95</v>
      </c>
      <c r="J160" s="7">
        <v>1550.9</v>
      </c>
      <c r="K160" s="27">
        <f>I160+J160</f>
        <v>2352.8500000000004</v>
      </c>
      <c r="L160" s="25" t="s">
        <v>33</v>
      </c>
      <c r="M160" s="25" t="s">
        <v>214</v>
      </c>
      <c r="N160" s="52" t="str">
        <f>HYPERLINK("https://drive.google.com/open?id=1Uqr9-ERT-ros637Jllxi7zC5DBzpiZ8j","Leja dokumenti 05-351/02-0268085/17")</f>
        <v>Leja dokumenti 05-351/02-0268085/17</v>
      </c>
      <c r="O160" s="52" t="str">
        <f>HYPERLINK("https://drive.google.com/open?id=1fmWXEGllz3hlmYiNPef3Tx7O9tmYW_Or","Situacioni")</f>
        <v>Situacioni</v>
      </c>
    </row>
    <row r="161" spans="1:15" ht="12.75" customHeight="1" x14ac:dyDescent="0.2">
      <c r="A161" s="184">
        <v>154</v>
      </c>
      <c r="B161" s="186" t="s">
        <v>282</v>
      </c>
      <c r="C161" s="188" t="s">
        <v>281</v>
      </c>
      <c r="D161" s="190" t="s">
        <v>247</v>
      </c>
      <c r="E161" s="190" t="s">
        <v>248</v>
      </c>
      <c r="F161" s="190" t="s">
        <v>249</v>
      </c>
      <c r="G161" s="190" t="s">
        <v>25</v>
      </c>
      <c r="H161" s="192">
        <v>9964</v>
      </c>
      <c r="I161" s="7">
        <v>25447.279999999999</v>
      </c>
      <c r="J161" s="7">
        <v>33362.230000000003</v>
      </c>
      <c r="K161" s="194">
        <f>I161+I162+J161+J162</f>
        <v>116194.89000000001</v>
      </c>
      <c r="L161" s="203" t="s">
        <v>250</v>
      </c>
      <c r="M161" s="203" t="s">
        <v>27</v>
      </c>
      <c r="N161" s="185" t="str">
        <f>HYPERLINK("https://drive.google.com/open?id=12SfV2kdMda8t1Ke1Ov_wlL4qMsZffV80","Leja dokumenti 05-351/02-0315042/17")</f>
        <v>Leja dokumenti 05-351/02-0315042/17</v>
      </c>
      <c r="O161" s="185" t="str">
        <f>HYPERLINK("https://drive.google.com/open?id=153Oa2fnDFAsPEWR2Tj-WHq46cJLw1MbM","Situacioni")</f>
        <v>Situacioni</v>
      </c>
    </row>
    <row r="162" spans="1:15" ht="12.75" customHeight="1" x14ac:dyDescent="0.2">
      <c r="A162" s="184"/>
      <c r="B162" s="187"/>
      <c r="C162" s="189"/>
      <c r="D162" s="191"/>
      <c r="E162" s="191"/>
      <c r="F162" s="191"/>
      <c r="G162" s="191"/>
      <c r="H162" s="193"/>
      <c r="I162" s="7">
        <v>25447.279999999999</v>
      </c>
      <c r="J162" s="7">
        <v>31938.1</v>
      </c>
      <c r="K162" s="195"/>
      <c r="L162" s="203"/>
      <c r="M162" s="203"/>
      <c r="N162" s="185"/>
      <c r="O162" s="185"/>
    </row>
    <row r="163" spans="1:15" ht="25.5" x14ac:dyDescent="0.2">
      <c r="A163" s="183">
        <v>155</v>
      </c>
      <c r="B163" s="123" t="s">
        <v>283</v>
      </c>
      <c r="C163" s="124" t="s">
        <v>284</v>
      </c>
      <c r="D163" s="25" t="s">
        <v>251</v>
      </c>
      <c r="E163" s="25" t="s">
        <v>251</v>
      </c>
      <c r="F163" s="25" t="s">
        <v>18</v>
      </c>
      <c r="G163" s="25" t="s">
        <v>252</v>
      </c>
      <c r="H163" s="4">
        <v>369.05</v>
      </c>
      <c r="I163" s="7">
        <v>1372.24</v>
      </c>
      <c r="J163" s="7">
        <v>2398.83</v>
      </c>
      <c r="K163" s="27">
        <f t="shared" ref="K163:K166" si="9">I163+J163</f>
        <v>3771.0699999999997</v>
      </c>
      <c r="L163" s="25" t="s">
        <v>40</v>
      </c>
      <c r="M163" s="25" t="s">
        <v>214</v>
      </c>
      <c r="N163" s="52" t="str">
        <f>HYPERLINK("https://drive.google.com/open?id=1tbOtolRJ1Bue0Tm1vlb-69GhTcQM7Lam","Leja dokumenti 05-351/02-0281283")</f>
        <v>Leja dokumenti 05-351/02-0281283</v>
      </c>
      <c r="O163" s="52" t="str">
        <f>HYPERLINK("https://drive.google.com/open?id=1tZEjKTHGA_uObCXP51FRt9qDrjLIN0Sf","Situacioni")</f>
        <v>Situacioni</v>
      </c>
    </row>
    <row r="164" spans="1:15" ht="25.5" x14ac:dyDescent="0.2">
      <c r="A164" s="183">
        <v>156</v>
      </c>
      <c r="B164" s="123" t="s">
        <v>158</v>
      </c>
      <c r="C164" s="124" t="s">
        <v>285</v>
      </c>
      <c r="D164" s="25" t="s">
        <v>253</v>
      </c>
      <c r="E164" s="25" t="s">
        <v>253</v>
      </c>
      <c r="F164" s="25" t="s">
        <v>113</v>
      </c>
      <c r="G164" s="25" t="s">
        <v>65</v>
      </c>
      <c r="H164" s="4">
        <v>652.67999999999995</v>
      </c>
      <c r="I164" s="7">
        <v>2890.15</v>
      </c>
      <c r="J164" s="7">
        <v>4242.42</v>
      </c>
      <c r="K164" s="27">
        <f t="shared" si="9"/>
        <v>7132.57</v>
      </c>
      <c r="L164" s="25" t="s">
        <v>254</v>
      </c>
      <c r="M164" s="25" t="s">
        <v>214</v>
      </c>
      <c r="N164" s="52" t="str">
        <f>HYPERLINK("https://drive.google.com/open?id=1o8uBLLHhfZJ7J_v7chlp5a30w7mHNAA3","Leja dokumenti 05-351/02-0292358/17")</f>
        <v>Leja dokumenti 05-351/02-0292358/17</v>
      </c>
      <c r="O164" s="52" t="str">
        <f>HYPERLINK("https://drive.google.com/open?id=1_wuIZXiS7XRmktvGcPqTaWRqqfyjSOjX","Situacioni")</f>
        <v>Situacioni</v>
      </c>
    </row>
    <row r="165" spans="1:15" ht="25.5" x14ac:dyDescent="0.2">
      <c r="A165" s="183">
        <v>157</v>
      </c>
      <c r="B165" s="123" t="s">
        <v>115</v>
      </c>
      <c r="C165" s="124" t="s">
        <v>286</v>
      </c>
      <c r="D165" s="25" t="s">
        <v>255</v>
      </c>
      <c r="E165" s="25" t="s">
        <v>255</v>
      </c>
      <c r="F165" s="25" t="s">
        <v>256</v>
      </c>
      <c r="G165" s="25" t="s">
        <v>186</v>
      </c>
      <c r="H165" s="4">
        <v>193.13</v>
      </c>
      <c r="I165" s="7">
        <v>350.3</v>
      </c>
      <c r="J165" s="7">
        <v>1255.3499999999999</v>
      </c>
      <c r="K165" s="27">
        <f t="shared" si="9"/>
        <v>1605.6499999999999</v>
      </c>
      <c r="L165" s="25" t="s">
        <v>33</v>
      </c>
      <c r="M165" s="25" t="s">
        <v>214</v>
      </c>
      <c r="N165" s="52" t="str">
        <f>HYPERLINK("https://drive.google.com/open?id=1CwSl9qIKromb6fuVHeTezynyo-WLOCpK","Leja dokumenti 05-351/02-0041113/18")</f>
        <v>Leja dokumenti 05-351/02-0041113/18</v>
      </c>
      <c r="O165" s="52" t="str">
        <f>HYPERLINK("https://drive.google.com/open?id=1_HJvx5srOP24jCEPZ46kZEIeyiYVwbYI","Situacioni")</f>
        <v>Situacioni</v>
      </c>
    </row>
    <row r="166" spans="1:15" ht="25.5" x14ac:dyDescent="0.2">
      <c r="A166" s="183">
        <v>158</v>
      </c>
      <c r="B166" s="123" t="s">
        <v>122</v>
      </c>
      <c r="C166" s="124" t="s">
        <v>286</v>
      </c>
      <c r="D166" s="25" t="s">
        <v>257</v>
      </c>
      <c r="E166" s="25" t="s">
        <v>257</v>
      </c>
      <c r="F166" s="25" t="s">
        <v>258</v>
      </c>
      <c r="G166" s="25" t="s">
        <v>259</v>
      </c>
      <c r="H166" s="4">
        <v>415.89</v>
      </c>
      <c r="I166" s="7">
        <v>1145.6099999999999</v>
      </c>
      <c r="J166" s="7">
        <v>2703.29</v>
      </c>
      <c r="K166" s="27">
        <f t="shared" si="9"/>
        <v>3848.8999999999996</v>
      </c>
      <c r="L166" s="25" t="s">
        <v>40</v>
      </c>
      <c r="M166" s="25" t="s">
        <v>214</v>
      </c>
      <c r="N166" s="52" t="str">
        <f>HYPERLINK("https://drive.google.com/open?id=17c-7Nxn7wZOu9HZ7JP1Qm6km7zyLhIOj","Leja dokumenti 05-351/02-0282213/17")</f>
        <v>Leja dokumenti 05-351/02-0282213/17</v>
      </c>
      <c r="O166" s="52" t="str">
        <f>HYPERLINK("https://drive.google.com/open?id=1ZFP9gos13WKhSzFBTurXtS-63BmICji6","Situacioni")</f>
        <v>Situacioni</v>
      </c>
    </row>
    <row r="167" spans="1:15" ht="25.5" x14ac:dyDescent="0.2">
      <c r="A167" s="183">
        <v>159</v>
      </c>
      <c r="B167" s="123" t="s">
        <v>287</v>
      </c>
      <c r="C167" s="124" t="s">
        <v>288</v>
      </c>
      <c r="D167" s="25" t="s">
        <v>260</v>
      </c>
      <c r="E167" s="25" t="s">
        <v>260</v>
      </c>
      <c r="F167" s="25" t="s">
        <v>261</v>
      </c>
      <c r="G167" s="25" t="s">
        <v>186</v>
      </c>
      <c r="H167" s="4">
        <v>284.76</v>
      </c>
      <c r="I167" s="7" t="s">
        <v>127</v>
      </c>
      <c r="J167" s="7" t="s">
        <v>127</v>
      </c>
      <c r="K167" s="27" t="s">
        <v>127</v>
      </c>
      <c r="L167" s="25" t="s">
        <v>40</v>
      </c>
      <c r="M167" s="25" t="s">
        <v>214</v>
      </c>
      <c r="N167" s="52" t="str">
        <f>HYPERLINK("https://drive.google.com/open?id=1_zWSOJ_SbM7vyvzi6wo2X1GzCts--oD5","Leja dokumenti 05-351/02-0011757/17")</f>
        <v>Leja dokumenti 05-351/02-0011757/17</v>
      </c>
      <c r="O167" s="52" t="str">
        <f>HYPERLINK("https://drive.google.com/open?id=109nDKpGRbdxBv_aEEI4oRIRljyO2-nL3","Situacioni")</f>
        <v>Situacioni</v>
      </c>
    </row>
    <row r="168" spans="1:15" ht="25.5" x14ac:dyDescent="0.2">
      <c r="A168" s="183">
        <v>160</v>
      </c>
      <c r="B168" s="123" t="s">
        <v>15</v>
      </c>
      <c r="C168" s="124" t="s">
        <v>288</v>
      </c>
      <c r="D168" s="25" t="s">
        <v>289</v>
      </c>
      <c r="E168" s="25" t="s">
        <v>289</v>
      </c>
      <c r="F168" s="25" t="s">
        <v>290</v>
      </c>
      <c r="G168" s="25" t="s">
        <v>65</v>
      </c>
      <c r="H168" s="4">
        <v>380.5</v>
      </c>
      <c r="I168" s="7">
        <v>1231.42</v>
      </c>
      <c r="J168" s="7">
        <v>2473.25</v>
      </c>
      <c r="K168" s="27">
        <f t="shared" ref="K168" si="10">I168+J168</f>
        <v>3704.67</v>
      </c>
      <c r="L168" s="25" t="s">
        <v>40</v>
      </c>
      <c r="M168" s="25" t="s">
        <v>214</v>
      </c>
      <c r="N168" s="52" t="str">
        <f>HYPERLINK("https://drive.google.com/open?id=1u1ZXLlfBO5IbvMdSuZOg6vARew3xl_4B","Leja dokumenti 05-351/02-0013503/18")</f>
        <v>Leja dokumenti 05-351/02-0013503/18</v>
      </c>
      <c r="O168" s="52" t="str">
        <f>HYPERLINK("https://drive.google.com/open?id=14JEHtrvGInZxaryqif6d8useASlc-rlG","Situacioni")</f>
        <v>Situacioni</v>
      </c>
    </row>
    <row r="169" spans="1:15" ht="25.5" x14ac:dyDescent="0.2">
      <c r="A169" s="183">
        <v>161</v>
      </c>
      <c r="B169" s="125" t="s">
        <v>15</v>
      </c>
      <c r="C169" s="126" t="s">
        <v>16</v>
      </c>
      <c r="D169" s="1" t="s">
        <v>17</v>
      </c>
      <c r="E169" s="1" t="s">
        <v>17</v>
      </c>
      <c r="F169" s="1" t="s">
        <v>18</v>
      </c>
      <c r="G169" s="1" t="s">
        <v>19</v>
      </c>
      <c r="H169" s="4">
        <v>216</v>
      </c>
      <c r="I169" s="7">
        <v>0</v>
      </c>
      <c r="J169" s="7">
        <v>1404</v>
      </c>
      <c r="K169" s="5">
        <f>I169+J169</f>
        <v>1404</v>
      </c>
      <c r="L169" s="1" t="s">
        <v>20</v>
      </c>
      <c r="M169" s="1" t="s">
        <v>21</v>
      </c>
      <c r="N169" s="52" t="str">
        <f>HYPERLINK("https://drive.google.com/open?id=1DZNCmvQEty8Vvt8oVp0qLndgOckktJxu","Leja dokumenti 05-351/02-0013472/18")</f>
        <v>Leja dokumenti 05-351/02-0013472/18</v>
      </c>
      <c r="O169" s="52" t="str">
        <f>HYPERLINK("https://drive.google.com/open?id=12Z62Robw9dL3ndj3R8V2iwIN3phHLRcN","Situacioni")</f>
        <v>Situacioni</v>
      </c>
    </row>
    <row r="170" spans="1:15" ht="12.75" customHeight="1" x14ac:dyDescent="0.2">
      <c r="A170" s="184">
        <v>162</v>
      </c>
      <c r="B170" s="224" t="s">
        <v>22</v>
      </c>
      <c r="C170" s="227" t="s">
        <v>16</v>
      </c>
      <c r="D170" s="200" t="s">
        <v>23</v>
      </c>
      <c r="E170" s="200" t="s">
        <v>24</v>
      </c>
      <c r="F170" s="200" t="s">
        <v>24</v>
      </c>
      <c r="G170" s="200" t="s">
        <v>25</v>
      </c>
      <c r="H170" s="215">
        <v>15790.01</v>
      </c>
      <c r="I170" s="8">
        <v>10950.36</v>
      </c>
      <c r="J170" s="9">
        <v>12470.25</v>
      </c>
      <c r="K170" s="196">
        <f>I170+J170+I171+J171+I172+J172</f>
        <v>188024.40000000002</v>
      </c>
      <c r="L170" s="199" t="s">
        <v>26</v>
      </c>
      <c r="M170" s="199" t="s">
        <v>27</v>
      </c>
      <c r="N170" s="185" t="str">
        <f>HYPERLINK("https://drive.google.com/open?id=1Dc8dV9-GwTdRjm8b1to2_t6hVQ81ouTY","Leja dokumenti 05-351/02-0098884/17")</f>
        <v>Leja dokumenti 05-351/02-0098884/17</v>
      </c>
      <c r="O170" s="185" t="str">
        <f>HYPERLINK("https://drive.google.com/open?id=12atY2BW9ZyUqqoUgW89USKYNh5g4rnWW","Situacioni")</f>
        <v>Situacioni</v>
      </c>
    </row>
    <row r="171" spans="1:15" ht="12.75" customHeight="1" x14ac:dyDescent="0.2">
      <c r="A171" s="184"/>
      <c r="B171" s="225"/>
      <c r="C171" s="228"/>
      <c r="D171" s="201"/>
      <c r="E171" s="201"/>
      <c r="F171" s="201"/>
      <c r="G171" s="201"/>
      <c r="H171" s="216"/>
      <c r="I171" s="10">
        <v>25114.240000000002</v>
      </c>
      <c r="J171" s="11">
        <v>31490.81</v>
      </c>
      <c r="K171" s="197"/>
      <c r="L171" s="199"/>
      <c r="M171" s="199"/>
      <c r="N171" s="185"/>
      <c r="O171" s="185"/>
    </row>
    <row r="172" spans="1:15" ht="12.75" customHeight="1" x14ac:dyDescent="0.2">
      <c r="A172" s="184"/>
      <c r="B172" s="226"/>
      <c r="C172" s="229"/>
      <c r="D172" s="202"/>
      <c r="E172" s="202"/>
      <c r="F172" s="202"/>
      <c r="G172" s="202"/>
      <c r="H172" s="217"/>
      <c r="I172" s="12">
        <v>49324.73</v>
      </c>
      <c r="J172" s="13">
        <v>58674.01</v>
      </c>
      <c r="K172" s="198"/>
      <c r="L172" s="199"/>
      <c r="M172" s="199"/>
      <c r="N172" s="185"/>
      <c r="O172" s="185"/>
    </row>
    <row r="173" spans="1:15" ht="25.5" x14ac:dyDescent="0.2">
      <c r="A173" s="183">
        <v>163</v>
      </c>
      <c r="B173" s="125" t="s">
        <v>28</v>
      </c>
      <c r="C173" s="126" t="s">
        <v>29</v>
      </c>
      <c r="D173" s="1" t="s">
        <v>30</v>
      </c>
      <c r="E173" s="1" t="s">
        <v>30</v>
      </c>
      <c r="F173" s="1" t="s">
        <v>31</v>
      </c>
      <c r="G173" s="1" t="s">
        <v>32</v>
      </c>
      <c r="H173" s="4">
        <v>694.74</v>
      </c>
      <c r="I173" s="7">
        <v>0</v>
      </c>
      <c r="J173" s="7">
        <v>5658.9</v>
      </c>
      <c r="K173" s="5">
        <f t="shared" ref="K173:K174" si="11">I173+J173</f>
        <v>5658.9</v>
      </c>
      <c r="L173" s="1" t="s">
        <v>33</v>
      </c>
      <c r="M173" s="1" t="s">
        <v>34</v>
      </c>
      <c r="N173" s="52" t="str">
        <f>HYPERLINK("https://drive.google.com/open?id=1e4yDEUeOm876HIwnm2h7K9kWOItRBBf0","Leja dokumenti 05-351/02-0282846/17")</f>
        <v>Leja dokumenti 05-351/02-0282846/17</v>
      </c>
      <c r="O173" s="52" t="str">
        <f>HYPERLINK("https://drive.google.com/open?id=1AonndHEI-14bBw2KWbF1aXnH9nJmp8_l","Situacioni")</f>
        <v>Situacioni</v>
      </c>
    </row>
    <row r="174" spans="1:15" ht="25.5" x14ac:dyDescent="0.2">
      <c r="A174" s="183">
        <v>164</v>
      </c>
      <c r="B174" s="125" t="s">
        <v>35</v>
      </c>
      <c r="C174" s="126" t="s">
        <v>36</v>
      </c>
      <c r="D174" s="1" t="s">
        <v>37</v>
      </c>
      <c r="E174" s="1" t="s">
        <v>37</v>
      </c>
      <c r="F174" s="1" t="s">
        <v>38</v>
      </c>
      <c r="G174" s="1" t="s">
        <v>39</v>
      </c>
      <c r="H174" s="4">
        <v>434.1</v>
      </c>
      <c r="I174" s="7">
        <v>1621.96</v>
      </c>
      <c r="J174" s="7">
        <v>2821.65</v>
      </c>
      <c r="K174" s="5">
        <f t="shared" si="11"/>
        <v>4443.6100000000006</v>
      </c>
      <c r="L174" s="1" t="s">
        <v>40</v>
      </c>
      <c r="M174" s="1" t="s">
        <v>41</v>
      </c>
      <c r="N174" s="52" t="str">
        <f>HYPERLINK("https://drive.google.com/open?id=1LoDbCpBcomuK6t72NxGKkgE9LUnbv4bE","Leja dokumenti 05-351/02-0305749/17")</f>
        <v>Leja dokumenti 05-351/02-0305749/17</v>
      </c>
      <c r="O174" s="52" t="str">
        <f>HYPERLINK("https://drive.google.com/open?id=16igkkIkuzU1B-GsA6q16HFm_v9l8GPSN","Situacioni")</f>
        <v>Situacioni</v>
      </c>
    </row>
    <row r="175" spans="1:15" ht="12.75" customHeight="1" x14ac:dyDescent="0.2">
      <c r="A175" s="184">
        <v>165</v>
      </c>
      <c r="B175" s="224" t="s">
        <v>42</v>
      </c>
      <c r="C175" s="227" t="s">
        <v>43</v>
      </c>
      <c r="D175" s="200" t="s">
        <v>44</v>
      </c>
      <c r="E175" s="200" t="s">
        <v>45</v>
      </c>
      <c r="F175" s="200" t="s">
        <v>46</v>
      </c>
      <c r="G175" s="200" t="s">
        <v>47</v>
      </c>
      <c r="H175" s="215" t="s">
        <v>202</v>
      </c>
      <c r="I175" s="8">
        <v>16405.78</v>
      </c>
      <c r="J175" s="9">
        <v>22849.45</v>
      </c>
      <c r="K175" s="196">
        <f>I175+J175+I176+J176+I177+J177</f>
        <v>120413.28</v>
      </c>
      <c r="L175" s="199" t="s">
        <v>48</v>
      </c>
      <c r="M175" s="199" t="s">
        <v>27</v>
      </c>
      <c r="N175" s="185" t="str">
        <f>HYPERLINK("https://drive.google.com/open?id=1aLT5NqYiVCSnErt1yfSCiEQWe_gM37zR","Leja dokumenti 05-351-02-0230789-17")</f>
        <v>Leja dokumenti 05-351-02-0230789-17</v>
      </c>
      <c r="O175" s="185" t="str">
        <f>HYPERLINK("https://drive.google.com/open?id=1fbNMVWExkk0nXbb2fg9wEPSQZv6JV4g_","Situacioni")</f>
        <v>Situacioni</v>
      </c>
    </row>
    <row r="176" spans="1:15" ht="12.75" customHeight="1" x14ac:dyDescent="0.2">
      <c r="A176" s="184"/>
      <c r="B176" s="225"/>
      <c r="C176" s="228"/>
      <c r="D176" s="201"/>
      <c r="E176" s="201"/>
      <c r="F176" s="201"/>
      <c r="G176" s="201"/>
      <c r="H176" s="216"/>
      <c r="I176" s="10">
        <v>21485.599999999999</v>
      </c>
      <c r="J176" s="11">
        <v>28026.7</v>
      </c>
      <c r="K176" s="197"/>
      <c r="L176" s="199"/>
      <c r="M176" s="199"/>
      <c r="N176" s="185"/>
      <c r="O176" s="185"/>
    </row>
    <row r="177" spans="1:15" ht="12.75" customHeight="1" x14ac:dyDescent="0.2">
      <c r="A177" s="184"/>
      <c r="B177" s="226"/>
      <c r="C177" s="229"/>
      <c r="D177" s="202"/>
      <c r="E177" s="202"/>
      <c r="F177" s="202"/>
      <c r="G177" s="202"/>
      <c r="H177" s="217"/>
      <c r="I177" s="12">
        <v>12933.63</v>
      </c>
      <c r="J177" s="13">
        <v>18712.12</v>
      </c>
      <c r="K177" s="198"/>
      <c r="L177" s="199"/>
      <c r="M177" s="199"/>
      <c r="N177" s="185"/>
      <c r="O177" s="185"/>
    </row>
    <row r="178" spans="1:15" ht="25.5" x14ac:dyDescent="0.2">
      <c r="A178" s="183">
        <v>166</v>
      </c>
      <c r="B178" s="125" t="s">
        <v>49</v>
      </c>
      <c r="C178" s="126" t="s">
        <v>43</v>
      </c>
      <c r="D178" s="1" t="s">
        <v>50</v>
      </c>
      <c r="E178" s="1" t="s">
        <v>51</v>
      </c>
      <c r="F178" s="1" t="s">
        <v>52</v>
      </c>
      <c r="G178" s="1" t="s">
        <v>53</v>
      </c>
      <c r="H178" s="4">
        <v>3027.47</v>
      </c>
      <c r="I178" s="7">
        <v>16224.14</v>
      </c>
      <c r="J178" s="7">
        <v>19677.939999999999</v>
      </c>
      <c r="K178" s="5">
        <f t="shared" ref="K178:K187" si="12">I178+J178</f>
        <v>35902.080000000002</v>
      </c>
      <c r="L178" s="1" t="s">
        <v>54</v>
      </c>
      <c r="M178" s="1" t="s">
        <v>55</v>
      </c>
      <c r="N178" s="52" t="str">
        <f>HYPERLINK("https://drive.google.com/open?id=1RP-VMNeQ4PmmTGSVrQHG5tvPdHr7a40Q","Leja dokumenti 05-351/02-0289239/17")</f>
        <v>Leja dokumenti 05-351/02-0289239/17</v>
      </c>
      <c r="O178" s="52" t="str">
        <f>HYPERLINK("https://drive.google.com/open?id=16DyAyqPV-LwZOLXlQJ9Ge-k4aEh29wIw","Situacioni")</f>
        <v>Situacioni</v>
      </c>
    </row>
    <row r="179" spans="1:15" ht="25.5" x14ac:dyDescent="0.2">
      <c r="A179" s="183">
        <v>167</v>
      </c>
      <c r="B179" s="125" t="s">
        <v>56</v>
      </c>
      <c r="C179" s="126" t="s">
        <v>57</v>
      </c>
      <c r="D179" s="1" t="s">
        <v>58</v>
      </c>
      <c r="E179" s="1" t="s">
        <v>58</v>
      </c>
      <c r="F179" s="1" t="s">
        <v>59</v>
      </c>
      <c r="G179" s="1" t="s">
        <v>39</v>
      </c>
      <c r="H179" s="4">
        <v>217</v>
      </c>
      <c r="I179" s="7">
        <v>760.46</v>
      </c>
      <c r="J179" s="7">
        <v>1410.5</v>
      </c>
      <c r="K179" s="5">
        <f t="shared" si="12"/>
        <v>2170.96</v>
      </c>
      <c r="L179" s="1" t="s">
        <v>60</v>
      </c>
      <c r="M179" s="1" t="s">
        <v>41</v>
      </c>
      <c r="N179" s="52" t="str">
        <f>HYPERLINK("https://drive.google.com/open?id=1S2fnTJnSV4tPPydbNvneUmOsO_cDOCZz","Leja dokumenti 05-351/02-0247902/17")</f>
        <v>Leja dokumenti 05-351/02-0247902/17</v>
      </c>
      <c r="O179" s="52" t="str">
        <f>HYPERLINK("https://drive.google.com/open?id=1tgLBfSCB03XOwRltmwUoCArRQ0OcDfGv","Situacioni")</f>
        <v>Situacioni</v>
      </c>
    </row>
    <row r="180" spans="1:15" ht="25.5" x14ac:dyDescent="0.2">
      <c r="A180" s="183">
        <v>168</v>
      </c>
      <c r="B180" s="125" t="s">
        <v>61</v>
      </c>
      <c r="C180" s="126" t="s">
        <v>62</v>
      </c>
      <c r="D180" s="1" t="s">
        <v>63</v>
      </c>
      <c r="E180" s="1" t="s">
        <v>63</v>
      </c>
      <c r="F180" s="1" t="s">
        <v>64</v>
      </c>
      <c r="G180" s="1" t="s">
        <v>65</v>
      </c>
      <c r="H180" s="4">
        <v>5753.94</v>
      </c>
      <c r="I180" s="7">
        <v>37388.07</v>
      </c>
      <c r="J180" s="7">
        <v>18894.419999999998</v>
      </c>
      <c r="K180" s="5">
        <f t="shared" si="12"/>
        <v>56282.49</v>
      </c>
      <c r="L180" s="1" t="s">
        <v>66</v>
      </c>
      <c r="M180" s="1" t="s">
        <v>67</v>
      </c>
      <c r="N180" s="52" t="str">
        <f>HYPERLINK("https://drive.google.com/open?id=1X3TfAqn5n18MJ-mbeA-VYQzhemMU8exI","Leja dokumenti 05-351/02-0199438/17")</f>
        <v>Leja dokumenti 05-351/02-0199438/17</v>
      </c>
      <c r="O180" s="52" t="str">
        <f>HYPERLINK("https://drive.google.com/open?id=1ZsdrXKUpEyvOMoIeLRwCYbGaCtw_F0yR","Situacioni")</f>
        <v>Situacioni</v>
      </c>
    </row>
    <row r="181" spans="1:15" ht="25.5" x14ac:dyDescent="0.2">
      <c r="A181" s="183">
        <v>169</v>
      </c>
      <c r="B181" s="125" t="s">
        <v>68</v>
      </c>
      <c r="C181" s="126" t="s">
        <v>62</v>
      </c>
      <c r="D181" s="1" t="s">
        <v>69</v>
      </c>
      <c r="E181" s="1" t="s">
        <v>70</v>
      </c>
      <c r="F181" s="1" t="s">
        <v>46</v>
      </c>
      <c r="G181" s="1" t="s">
        <v>71</v>
      </c>
      <c r="H181" s="4">
        <v>24</v>
      </c>
      <c r="I181" s="7">
        <v>0</v>
      </c>
      <c r="J181" s="7">
        <v>156</v>
      </c>
      <c r="K181" s="5">
        <f t="shared" si="12"/>
        <v>156</v>
      </c>
      <c r="L181" s="2" t="s">
        <v>72</v>
      </c>
      <c r="M181" s="1" t="s">
        <v>73</v>
      </c>
      <c r="N181" s="52" t="str">
        <f>HYPERLINK("https://drive.google.com/open?id=12Cdih-rp7jY5ywujreEHxdPwTzIaF5Lg","Leja dokumenti 05-351/02-0178664/17")</f>
        <v>Leja dokumenti 05-351/02-0178664/17</v>
      </c>
      <c r="O181" s="52" t="str">
        <f>HYPERLINK("https://drive.google.com/open?id=1bDw4n0nGH-sSZ0pUWUyG7p7k4o3LtXs4","Situacioni")</f>
        <v>Situacioni</v>
      </c>
    </row>
    <row r="182" spans="1:15" ht="102" x14ac:dyDescent="0.2">
      <c r="A182" s="183">
        <v>170</v>
      </c>
      <c r="B182" s="125" t="s">
        <v>74</v>
      </c>
      <c r="C182" s="126" t="s">
        <v>62</v>
      </c>
      <c r="D182" s="1" t="s">
        <v>75</v>
      </c>
      <c r="E182" s="1" t="s">
        <v>76</v>
      </c>
      <c r="F182" s="1" t="s">
        <v>77</v>
      </c>
      <c r="G182" s="1" t="s">
        <v>39</v>
      </c>
      <c r="H182" s="4">
        <v>9105.2800000000007</v>
      </c>
      <c r="I182" s="14">
        <v>33437.24</v>
      </c>
      <c r="J182" s="15">
        <v>59184.32</v>
      </c>
      <c r="K182" s="5">
        <f t="shared" si="12"/>
        <v>92621.56</v>
      </c>
      <c r="L182" s="1" t="s">
        <v>78</v>
      </c>
      <c r="M182" s="1" t="s">
        <v>55</v>
      </c>
      <c r="N182" s="52" t="str">
        <f>HYPERLINK("https://drive.google.com/open?id=1-7EHEfIOUg3RFSgipT1bG8ixDRLDLmqt","Leja dokumenti 05-351/02-0018118/18")</f>
        <v>Leja dokumenti 05-351/02-0018118/18</v>
      </c>
      <c r="O182" s="52" t="str">
        <f>HYPERLINK("https://drive.google.com/open?id=1T0wT9ofBAQzoZzjjvaKuzmWkaugxs85b","Situacioni")</f>
        <v>Situacioni</v>
      </c>
    </row>
    <row r="183" spans="1:15" ht="25.5" x14ac:dyDescent="0.2">
      <c r="A183" s="183">
        <v>171</v>
      </c>
      <c r="B183" s="125" t="s">
        <v>79</v>
      </c>
      <c r="C183" s="126" t="s">
        <v>80</v>
      </c>
      <c r="D183" s="1" t="s">
        <v>81</v>
      </c>
      <c r="E183" s="1" t="s">
        <v>82</v>
      </c>
      <c r="F183" s="1" t="s">
        <v>83</v>
      </c>
      <c r="G183" s="1" t="s">
        <v>25</v>
      </c>
      <c r="H183" s="4">
        <v>2365.4</v>
      </c>
      <c r="I183" s="7">
        <v>10347.49</v>
      </c>
      <c r="J183" s="7">
        <v>15531.16</v>
      </c>
      <c r="K183" s="5">
        <f t="shared" si="12"/>
        <v>25878.65</v>
      </c>
      <c r="L183" s="1" t="s">
        <v>84</v>
      </c>
      <c r="M183" s="1" t="s">
        <v>55</v>
      </c>
      <c r="N183" s="52" t="str">
        <f>HYPERLINK("https://drive.google.com/open?id=1auq5-4ue2W83WUezB94qbG4lxhQMcYox","Leja dokumenti 05-351/02-19478/17")</f>
        <v>Leja dokumenti 05-351/02-19478/17</v>
      </c>
      <c r="O183" s="52" t="str">
        <f>HYPERLINK("https://drive.google.com/open?id=1r38FxJtvRXE2QnzQYpaRJ1iqrpb8lV36","Situacioni")</f>
        <v>Situacioni</v>
      </c>
    </row>
    <row r="184" spans="1:15" ht="38.25" x14ac:dyDescent="0.2">
      <c r="A184" s="183">
        <v>172</v>
      </c>
      <c r="B184" s="125" t="s">
        <v>85</v>
      </c>
      <c r="C184" s="126" t="s">
        <v>80</v>
      </c>
      <c r="D184" s="1" t="s">
        <v>86</v>
      </c>
      <c r="E184" s="1" t="s">
        <v>87</v>
      </c>
      <c r="F184" s="1" t="s">
        <v>88</v>
      </c>
      <c r="G184" s="1" t="s">
        <v>89</v>
      </c>
      <c r="H184" s="4">
        <v>6469.9</v>
      </c>
      <c r="I184" s="7">
        <v>37130.61</v>
      </c>
      <c r="J184" s="7">
        <v>42229.85</v>
      </c>
      <c r="K184" s="5">
        <f t="shared" si="12"/>
        <v>79360.459999999992</v>
      </c>
      <c r="L184" s="1" t="s">
        <v>90</v>
      </c>
      <c r="M184" s="1" t="s">
        <v>55</v>
      </c>
      <c r="N184" s="52" t="str">
        <f>HYPERLINK("https://drive.google.com/open?id=1uVJB-Q2PMRs1HDB2mPv3USCLvhwuNPTt","Leja dokumenti 05-351/02-0302307/17")</f>
        <v>Leja dokumenti 05-351/02-0302307/17</v>
      </c>
      <c r="O184" s="52" t="str">
        <f>HYPERLINK("https://drive.google.com/open?id=1WyQ0MkMATGnrJThotOsceRfRu0bmddYX","Situacioni")</f>
        <v>Situacioni</v>
      </c>
    </row>
    <row r="185" spans="1:15" ht="25.5" x14ac:dyDescent="0.2">
      <c r="A185" s="183">
        <v>173</v>
      </c>
      <c r="B185" s="125" t="s">
        <v>91</v>
      </c>
      <c r="C185" s="126" t="s">
        <v>92</v>
      </c>
      <c r="D185" s="1" t="s">
        <v>93</v>
      </c>
      <c r="E185" s="1" t="s">
        <v>93</v>
      </c>
      <c r="F185" s="1" t="s">
        <v>94</v>
      </c>
      <c r="G185" s="1" t="s">
        <v>95</v>
      </c>
      <c r="H185" s="4">
        <v>367.03</v>
      </c>
      <c r="I185" s="7">
        <v>1140.83</v>
      </c>
      <c r="J185" s="7">
        <v>2385.6999999999998</v>
      </c>
      <c r="K185" s="5">
        <f t="shared" si="12"/>
        <v>3526.5299999999997</v>
      </c>
      <c r="L185" s="1" t="s">
        <v>33</v>
      </c>
      <c r="M185" s="1" t="s">
        <v>41</v>
      </c>
      <c r="N185" s="52" t="str">
        <f>HYPERLINK("https://drive.google.com/open?id=1OYsIvrcy_RDawtc-Bubo_-CvOsX3nRvh","Leja dokumenti 05-351/02-0293311/17")</f>
        <v>Leja dokumenti 05-351/02-0293311/17</v>
      </c>
      <c r="O185" s="52" t="str">
        <f>HYPERLINK("https://drive.google.com/open?id=1vJWGbeACVdEnzxO0O3bhu3tCswbo9iPZ","Situacioni")</f>
        <v>Situacioni</v>
      </c>
    </row>
    <row r="186" spans="1:15" ht="25.5" x14ac:dyDescent="0.2">
      <c r="A186" s="183">
        <v>174</v>
      </c>
      <c r="B186" s="125" t="s">
        <v>96</v>
      </c>
      <c r="C186" s="126" t="s">
        <v>92</v>
      </c>
      <c r="D186" s="1" t="s">
        <v>97</v>
      </c>
      <c r="E186" s="1" t="s">
        <v>97</v>
      </c>
      <c r="F186" s="1" t="s">
        <v>98</v>
      </c>
      <c r="G186" s="1" t="s">
        <v>39</v>
      </c>
      <c r="H186" s="4">
        <v>278.3</v>
      </c>
      <c r="I186" s="7">
        <v>995.83</v>
      </c>
      <c r="J186" s="7">
        <v>1808.95</v>
      </c>
      <c r="K186" s="5">
        <f t="shared" si="12"/>
        <v>2804.78</v>
      </c>
      <c r="L186" s="1" t="s">
        <v>40</v>
      </c>
      <c r="M186" s="1" t="s">
        <v>41</v>
      </c>
      <c r="N186" s="52" t="str">
        <f>HYPERLINK("https://drive.google.com/open?id=1vGg7BKFrFJvPZgnZcID7rbtsV3D4BtMI","Leja dokumenti 05-351/02-0153172/17")</f>
        <v>Leja dokumenti 05-351/02-0153172/17</v>
      </c>
      <c r="O186" s="52" t="str">
        <f>HYPERLINK("https://drive.google.com/open?id=1c1ejm3V6rG-7t__T8r4522CMzw2SoN-S","Situacioni")</f>
        <v>Situacioni</v>
      </c>
    </row>
    <row r="187" spans="1:15" ht="25.5" x14ac:dyDescent="0.2">
      <c r="A187" s="183">
        <v>175</v>
      </c>
      <c r="B187" s="125" t="s">
        <v>99</v>
      </c>
      <c r="C187" s="126" t="s">
        <v>100</v>
      </c>
      <c r="D187" s="1" t="s">
        <v>101</v>
      </c>
      <c r="E187" s="1" t="s">
        <v>101</v>
      </c>
      <c r="F187" s="1" t="s">
        <v>102</v>
      </c>
      <c r="G187" s="1" t="s">
        <v>103</v>
      </c>
      <c r="H187" s="4">
        <v>160.61000000000001</v>
      </c>
      <c r="I187" s="7">
        <v>555.99</v>
      </c>
      <c r="J187" s="7">
        <v>1043.97</v>
      </c>
      <c r="K187" s="5">
        <f t="shared" si="12"/>
        <v>1599.96</v>
      </c>
      <c r="L187" s="1" t="s">
        <v>33</v>
      </c>
      <c r="M187" s="1" t="s">
        <v>41</v>
      </c>
      <c r="N187" s="52" t="str">
        <f>HYPERLINK("https://drive.google.com/open?id=1mHyvu0O9U7pGI9jbPHTWmKzLTucPUn4W","Leja dokumenti 05-351/02-0007835/18")</f>
        <v>Leja dokumenti 05-351/02-0007835/18</v>
      </c>
      <c r="O187" s="52" t="str">
        <f>HYPERLINK("https://drive.google.com/open?id=1dfWZFfxafB7nw1Oww_W0ZxBP9uN71RG4","Situacioni")</f>
        <v>Situacioni</v>
      </c>
    </row>
    <row r="188" spans="1:15" ht="12.75" customHeight="1" x14ac:dyDescent="0.2">
      <c r="A188" s="184">
        <v>176</v>
      </c>
      <c r="B188" s="224" t="s">
        <v>104</v>
      </c>
      <c r="C188" s="227" t="s">
        <v>105</v>
      </c>
      <c r="D188" s="200" t="s">
        <v>106</v>
      </c>
      <c r="E188" s="200" t="s">
        <v>107</v>
      </c>
      <c r="F188" s="200" t="s">
        <v>108</v>
      </c>
      <c r="G188" s="200" t="s">
        <v>25</v>
      </c>
      <c r="H188" s="215">
        <v>15307.55</v>
      </c>
      <c r="I188" s="9">
        <v>24318.959999999999</v>
      </c>
      <c r="J188" s="9">
        <v>30498.97</v>
      </c>
      <c r="K188" s="196">
        <f>I188+I189+I190+J188+J189+J190</f>
        <v>168577.15000000002</v>
      </c>
      <c r="L188" s="199" t="s">
        <v>109</v>
      </c>
      <c r="M188" s="199" t="s">
        <v>27</v>
      </c>
      <c r="N188" s="185" t="str">
        <f>HYPERLINK("https://drive.google.com/open?id=13Mlul9Jh8J3RQD7RVZWp2Lu5JWmLZgBx","Leja dokumenti 05-351/02-0079657/17")</f>
        <v>Leja dokumenti 05-351/02-0079657/17</v>
      </c>
      <c r="O188" s="185" t="str">
        <f>HYPERLINK("https://drive.google.com/open?id=1XHgkVh-cSECe_8xNb9NepLSftueG_OXt","Situacioni")</f>
        <v>Situacioni</v>
      </c>
    </row>
    <row r="189" spans="1:15" ht="12.75" customHeight="1" x14ac:dyDescent="0.2">
      <c r="A189" s="184"/>
      <c r="B189" s="225"/>
      <c r="C189" s="228"/>
      <c r="D189" s="201"/>
      <c r="E189" s="201"/>
      <c r="F189" s="201"/>
      <c r="G189" s="201"/>
      <c r="H189" s="216"/>
      <c r="I189" s="11">
        <v>25453.68</v>
      </c>
      <c r="J189" s="11">
        <v>38751.49</v>
      </c>
      <c r="K189" s="197"/>
      <c r="L189" s="199"/>
      <c r="M189" s="199"/>
      <c r="N189" s="185"/>
      <c r="O189" s="185"/>
    </row>
    <row r="190" spans="1:15" ht="12.75" customHeight="1" x14ac:dyDescent="0.2">
      <c r="A190" s="184"/>
      <c r="B190" s="226"/>
      <c r="C190" s="229"/>
      <c r="D190" s="202"/>
      <c r="E190" s="202"/>
      <c r="F190" s="202"/>
      <c r="G190" s="202"/>
      <c r="H190" s="217"/>
      <c r="I190" s="16">
        <v>19028.88</v>
      </c>
      <c r="J190" s="16">
        <v>30525.17</v>
      </c>
      <c r="K190" s="198"/>
      <c r="L190" s="199"/>
      <c r="M190" s="199"/>
      <c r="N190" s="185"/>
      <c r="O190" s="185"/>
    </row>
    <row r="191" spans="1:15" ht="25.5" x14ac:dyDescent="0.2">
      <c r="A191" s="183">
        <v>177</v>
      </c>
      <c r="B191" s="125" t="s">
        <v>110</v>
      </c>
      <c r="C191" s="126" t="s">
        <v>111</v>
      </c>
      <c r="D191" s="1" t="s">
        <v>112</v>
      </c>
      <c r="E191" s="1" t="s">
        <v>112</v>
      </c>
      <c r="F191" s="1" t="s">
        <v>113</v>
      </c>
      <c r="G191" s="1" t="s">
        <v>95</v>
      </c>
      <c r="H191" s="4">
        <v>195.2</v>
      </c>
      <c r="I191" s="7">
        <v>708.61900000000003</v>
      </c>
      <c r="J191" s="7">
        <v>1268.8</v>
      </c>
      <c r="K191" s="5">
        <f>I191+J191</f>
        <v>1977.4189999999999</v>
      </c>
      <c r="L191" s="1" t="s">
        <v>33</v>
      </c>
      <c r="M191" s="1" t="s">
        <v>41</v>
      </c>
      <c r="N191" s="52" t="str">
        <f>HYPERLINK("https://drive.google.com/file/d/1Ji6KUTE7u_tEQMcp-UaxgCpfCDOb013n/view?usp=sharing","Leja dokumenti 05-351/02-0136392/17")</f>
        <v>Leja dokumenti 05-351/02-0136392/17</v>
      </c>
      <c r="O191" s="52" t="str">
        <f>HYPERLINK("https://drive.google.com/file/d/1AIzPYdgaundiLb0bmLKIhSyX0KQrqt1h/view?usp=sharing","Situacioni")</f>
        <v>Situacioni</v>
      </c>
    </row>
    <row r="192" spans="1:15" ht="12.75" customHeight="1" x14ac:dyDescent="0.2">
      <c r="A192" s="184">
        <v>178</v>
      </c>
      <c r="B192" s="224" t="s">
        <v>114</v>
      </c>
      <c r="C192" s="227" t="s">
        <v>115</v>
      </c>
      <c r="D192" s="200" t="s">
        <v>116</v>
      </c>
      <c r="E192" s="200" t="s">
        <v>117</v>
      </c>
      <c r="F192" s="200" t="s">
        <v>118</v>
      </c>
      <c r="G192" s="200" t="s">
        <v>119</v>
      </c>
      <c r="H192" s="215">
        <v>11595.09</v>
      </c>
      <c r="I192" s="9">
        <v>34119.440000000002</v>
      </c>
      <c r="J192" s="9">
        <v>42314.71</v>
      </c>
      <c r="K192" s="196">
        <f>I192+I193+J192+J193+J194</f>
        <v>133509.61000000002</v>
      </c>
      <c r="L192" s="199" t="s">
        <v>120</v>
      </c>
      <c r="M192" s="199" t="s">
        <v>27</v>
      </c>
      <c r="N192" s="185" t="str">
        <f>HYPERLINK("https://drive.google.com/open?id=17IE1E6wnZZ4wUqCqQZWeP8oIDa-1NcFx","Leja dokumenti 05-351/02-0159103/17")</f>
        <v>Leja dokumenti 05-351/02-0159103/17</v>
      </c>
      <c r="O192" s="185" t="str">
        <f>HYPERLINK("https://drive.google.com/open?id=19LwGNPGbooydaM253keweQdAKS-0oyr7","Situacioni")</f>
        <v>Situacioni</v>
      </c>
    </row>
    <row r="193" spans="1:15" ht="12.75" customHeight="1" x14ac:dyDescent="0.2">
      <c r="A193" s="184"/>
      <c r="B193" s="225"/>
      <c r="C193" s="228"/>
      <c r="D193" s="201"/>
      <c r="E193" s="201"/>
      <c r="F193" s="201"/>
      <c r="G193" s="201"/>
      <c r="H193" s="216"/>
      <c r="I193" s="11">
        <v>23571.51</v>
      </c>
      <c r="J193" s="11">
        <v>27927.31</v>
      </c>
      <c r="K193" s="197"/>
      <c r="L193" s="199"/>
      <c r="M193" s="199"/>
      <c r="N193" s="185"/>
      <c r="O193" s="185"/>
    </row>
    <row r="194" spans="1:15" ht="38.25" x14ac:dyDescent="0.2">
      <c r="A194" s="184"/>
      <c r="B194" s="226"/>
      <c r="C194" s="229"/>
      <c r="D194" s="202"/>
      <c r="E194" s="202"/>
      <c r="F194" s="202"/>
      <c r="G194" s="202"/>
      <c r="H194" s="217"/>
      <c r="I194" s="17" t="s">
        <v>121</v>
      </c>
      <c r="J194" s="13">
        <v>5576.64</v>
      </c>
      <c r="K194" s="198"/>
      <c r="L194" s="199"/>
      <c r="M194" s="199"/>
      <c r="N194" s="185"/>
      <c r="O194" s="185"/>
    </row>
    <row r="195" spans="1:15" ht="76.5" x14ac:dyDescent="0.2">
      <c r="A195" s="183">
        <v>179</v>
      </c>
      <c r="B195" s="125" t="s">
        <v>122</v>
      </c>
      <c r="C195" s="126" t="s">
        <v>123</v>
      </c>
      <c r="D195" s="1" t="s">
        <v>124</v>
      </c>
      <c r="E195" s="1" t="s">
        <v>125</v>
      </c>
      <c r="F195" s="1" t="s">
        <v>126</v>
      </c>
      <c r="G195" s="1" t="s">
        <v>39</v>
      </c>
      <c r="H195" s="4">
        <v>2512.7600000000002</v>
      </c>
      <c r="I195" s="7" t="s">
        <v>127</v>
      </c>
      <c r="J195" s="7" t="s">
        <v>127</v>
      </c>
      <c r="K195" s="5" t="s">
        <v>127</v>
      </c>
      <c r="L195" s="1" t="s">
        <v>128</v>
      </c>
      <c r="M195" s="1" t="s">
        <v>129</v>
      </c>
      <c r="N195" s="52" t="str">
        <f>HYPERLINK("https://drive.google.com/open?id=17H9mccthekY8Wsm0m2M5M-015xK0m3AZ","Leja dokumenti 05-351/02-0281858/17")</f>
        <v>Leja dokumenti 05-351/02-0281858/17</v>
      </c>
      <c r="O195" s="52" t="str">
        <f>HYPERLINK("https://drive.google.com/open?id=1L5Yt-vP_GDbSzzitxCbkpOBRZS_-PGhm","Situacioni")</f>
        <v>Situacioni</v>
      </c>
    </row>
    <row r="196" spans="1:15" ht="25.5" x14ac:dyDescent="0.2">
      <c r="A196" s="183">
        <v>180</v>
      </c>
      <c r="B196" s="125" t="s">
        <v>130</v>
      </c>
      <c r="C196" s="126" t="s">
        <v>131</v>
      </c>
      <c r="D196" s="1" t="s">
        <v>132</v>
      </c>
      <c r="E196" s="1" t="s">
        <v>132</v>
      </c>
      <c r="F196" s="1" t="s">
        <v>133</v>
      </c>
      <c r="G196" s="1" t="s">
        <v>39</v>
      </c>
      <c r="H196" s="4">
        <v>312</v>
      </c>
      <c r="I196" s="7">
        <v>1086.81</v>
      </c>
      <c r="J196" s="7">
        <v>2028</v>
      </c>
      <c r="K196" s="5">
        <f t="shared" ref="K196:K197" si="13">I196+J196</f>
        <v>3114.81</v>
      </c>
      <c r="L196" s="1" t="s">
        <v>33</v>
      </c>
      <c r="M196" s="1" t="s">
        <v>41</v>
      </c>
      <c r="N196" s="52" t="str">
        <f>HYPERLINK("https://drive.google.com/file/d/193HYpFsN1JUhVLU3yyZ0Ta8cyuCLOEXs/view?usp=sharing","Leja dokumenti 05-351/02-0268709/17")</f>
        <v>Leja dokumenti 05-351/02-0268709/17</v>
      </c>
      <c r="O196" s="52" t="str">
        <f>HYPERLINK("https://drive.google.com/file/d/1l_dov76x9Vv73J7R-GaGlZcA-VG2AOJX/view?usp=sharing","Situacioni")</f>
        <v>Situacioni</v>
      </c>
    </row>
    <row r="197" spans="1:15" ht="25.5" x14ac:dyDescent="0.2">
      <c r="A197" s="183">
        <v>181</v>
      </c>
      <c r="B197" s="125" t="s">
        <v>134</v>
      </c>
      <c r="C197" s="126" t="s">
        <v>135</v>
      </c>
      <c r="D197" s="1" t="s">
        <v>136</v>
      </c>
      <c r="E197" s="1" t="s">
        <v>137</v>
      </c>
      <c r="F197" s="1" t="s">
        <v>118</v>
      </c>
      <c r="G197" s="1" t="s">
        <v>119</v>
      </c>
      <c r="H197" s="4">
        <v>5911.2</v>
      </c>
      <c r="I197" s="7">
        <v>32131.65</v>
      </c>
      <c r="J197" s="7">
        <v>38554.620000000003</v>
      </c>
      <c r="K197" s="5">
        <f t="shared" si="13"/>
        <v>70686.27</v>
      </c>
      <c r="L197" s="1" t="s">
        <v>138</v>
      </c>
      <c r="M197" s="1" t="s">
        <v>55</v>
      </c>
      <c r="N197" s="52" t="str">
        <f>HYPERLINK("https://drive.google.com/open?id=119o9VryiO4su5n-vXExdI-ZYGh5UX0c8","Leja dokumenti 05-351/02-0245018/17")</f>
        <v>Leja dokumenti 05-351/02-0245018/17</v>
      </c>
      <c r="O197" s="52" t="str">
        <f>HYPERLINK("https://drive.google.com/open?id=1UW5i3STQ6_U_hLQ_MpAp31o9nUFpHgOT","Situacioni")</f>
        <v>Situacioni</v>
      </c>
    </row>
    <row r="198" spans="1:15" ht="12.75" customHeight="1" x14ac:dyDescent="0.2">
      <c r="A198" s="184">
        <v>182</v>
      </c>
      <c r="B198" s="224" t="s">
        <v>139</v>
      </c>
      <c r="C198" s="227" t="s">
        <v>140</v>
      </c>
      <c r="D198" s="200" t="s">
        <v>141</v>
      </c>
      <c r="E198" s="200" t="s">
        <v>142</v>
      </c>
      <c r="F198" s="200" t="s">
        <v>143</v>
      </c>
      <c r="G198" s="200" t="s">
        <v>25</v>
      </c>
      <c r="H198" s="215">
        <v>10445.6</v>
      </c>
      <c r="I198" s="18">
        <v>29543.56</v>
      </c>
      <c r="J198" s="18">
        <v>34010.050000000003</v>
      </c>
      <c r="K198" s="196">
        <f>I198+J198+I199+J199</f>
        <v>127107.22</v>
      </c>
      <c r="L198" s="199" t="s">
        <v>144</v>
      </c>
      <c r="M198" s="199" t="s">
        <v>27</v>
      </c>
      <c r="N198" s="185" t="str">
        <f>HYPERLINK("https://drive.google.com/file/d/1ZJTHc_zSj_OXAr3yZmc3nK65VGczuYT8/view?usp=sharing","Leja dokumenti 05-351/02-0310309/17")</f>
        <v>Leja dokumenti 05-351/02-0310309/17</v>
      </c>
      <c r="O198" s="185" t="str">
        <f>HYPERLINK("https://drive.google.com/open?id=13bu0aAr4hsrYPONa6aWsFKym0o0hU5lZ","Situacioni")</f>
        <v>Situacioni</v>
      </c>
    </row>
    <row r="199" spans="1:15" ht="12.75" customHeight="1" x14ac:dyDescent="0.2">
      <c r="A199" s="184"/>
      <c r="B199" s="226"/>
      <c r="C199" s="229"/>
      <c r="D199" s="202"/>
      <c r="E199" s="202"/>
      <c r="F199" s="202"/>
      <c r="G199" s="202"/>
      <c r="H199" s="217"/>
      <c r="I199" s="19">
        <v>29543.56</v>
      </c>
      <c r="J199" s="19">
        <v>34010.050000000003</v>
      </c>
      <c r="K199" s="198"/>
      <c r="L199" s="199"/>
      <c r="M199" s="199"/>
      <c r="N199" s="185"/>
      <c r="O199" s="185"/>
    </row>
    <row r="200" spans="1:15" ht="12.75" customHeight="1" x14ac:dyDescent="0.2">
      <c r="A200" s="184">
        <v>183</v>
      </c>
      <c r="B200" s="224" t="s">
        <v>145</v>
      </c>
      <c r="C200" s="227" t="s">
        <v>146</v>
      </c>
      <c r="D200" s="200" t="s">
        <v>147</v>
      </c>
      <c r="E200" s="200" t="s">
        <v>147</v>
      </c>
      <c r="F200" s="200" t="s">
        <v>147</v>
      </c>
      <c r="G200" s="200" t="s">
        <v>25</v>
      </c>
      <c r="H200" s="215">
        <v>28031.71</v>
      </c>
      <c r="I200" s="9">
        <v>38059.65</v>
      </c>
      <c r="J200" s="9">
        <v>25881.7</v>
      </c>
      <c r="K200" s="196">
        <f>I200+J200+I201+J201+I202+J202+I203+J203+J204</f>
        <v>317013.90999999992</v>
      </c>
      <c r="L200" s="199" t="s">
        <v>148</v>
      </c>
      <c r="M200" s="199" t="s">
        <v>27</v>
      </c>
      <c r="N200" s="185" t="str">
        <f>HYPERLINK("https://drive.google.com/open?id=1Qk64QSI7ijt9jxLEQPWVTZOiJLpnKIzC","Leja dokumenti 05-351/02-0208312/17")</f>
        <v>Leja dokumenti 05-351/02-0208312/17</v>
      </c>
      <c r="O200" s="185" t="str">
        <f>HYPERLINK("https://drive.google.com/open?id=1l4OXS7Td-PIX7mHMNSZ67ecC_fjZhfsx","Situacioni")</f>
        <v>Situacioni</v>
      </c>
    </row>
    <row r="201" spans="1:15" ht="12.75" customHeight="1" x14ac:dyDescent="0.2">
      <c r="A201" s="184"/>
      <c r="B201" s="225"/>
      <c r="C201" s="228"/>
      <c r="D201" s="201"/>
      <c r="E201" s="201"/>
      <c r="F201" s="201"/>
      <c r="G201" s="201"/>
      <c r="H201" s="216"/>
      <c r="I201" s="11">
        <v>50203.01</v>
      </c>
      <c r="J201" s="11">
        <v>39351.019999999997</v>
      </c>
      <c r="K201" s="197"/>
      <c r="L201" s="199"/>
      <c r="M201" s="199"/>
      <c r="N201" s="185"/>
      <c r="O201" s="185"/>
    </row>
    <row r="202" spans="1:15" ht="12.75" customHeight="1" x14ac:dyDescent="0.2">
      <c r="A202" s="184"/>
      <c r="B202" s="225"/>
      <c r="C202" s="228"/>
      <c r="D202" s="201"/>
      <c r="E202" s="201"/>
      <c r="F202" s="201"/>
      <c r="G202" s="201"/>
      <c r="H202" s="216"/>
      <c r="I202" s="11">
        <v>46872.74</v>
      </c>
      <c r="J202" s="11">
        <v>42718.11</v>
      </c>
      <c r="K202" s="197"/>
      <c r="L202" s="199"/>
      <c r="M202" s="199"/>
      <c r="N202" s="185"/>
      <c r="O202" s="185"/>
    </row>
    <row r="203" spans="1:15" ht="12.75" customHeight="1" x14ac:dyDescent="0.2">
      <c r="A203" s="184"/>
      <c r="B203" s="225"/>
      <c r="C203" s="228"/>
      <c r="D203" s="201"/>
      <c r="E203" s="201"/>
      <c r="F203" s="201"/>
      <c r="G203" s="201"/>
      <c r="H203" s="216"/>
      <c r="I203" s="11">
        <v>34481.79</v>
      </c>
      <c r="J203" s="11">
        <v>26515.54</v>
      </c>
      <c r="K203" s="197"/>
      <c r="L203" s="199"/>
      <c r="M203" s="199"/>
      <c r="N203" s="185"/>
      <c r="O203" s="185"/>
    </row>
    <row r="204" spans="1:15" ht="38.25" x14ac:dyDescent="0.2">
      <c r="A204" s="184"/>
      <c r="B204" s="226"/>
      <c r="C204" s="229"/>
      <c r="D204" s="202"/>
      <c r="E204" s="202"/>
      <c r="F204" s="202"/>
      <c r="G204" s="202"/>
      <c r="H204" s="217"/>
      <c r="I204" s="20" t="s">
        <v>149</v>
      </c>
      <c r="J204" s="13">
        <v>12930.35</v>
      </c>
      <c r="K204" s="198"/>
      <c r="L204" s="199"/>
      <c r="M204" s="199"/>
      <c r="N204" s="185"/>
      <c r="O204" s="185"/>
    </row>
    <row r="205" spans="1:15" ht="25.5" x14ac:dyDescent="0.2">
      <c r="A205" s="183">
        <v>184</v>
      </c>
      <c r="B205" s="125" t="s">
        <v>150</v>
      </c>
      <c r="C205" s="126" t="s">
        <v>151</v>
      </c>
      <c r="D205" s="1" t="s">
        <v>152</v>
      </c>
      <c r="E205" s="1" t="s">
        <v>152</v>
      </c>
      <c r="F205" s="1" t="s">
        <v>153</v>
      </c>
      <c r="G205" s="1" t="s">
        <v>95</v>
      </c>
      <c r="H205" s="4">
        <v>366.2</v>
      </c>
      <c r="I205" s="7">
        <v>569.15</v>
      </c>
      <c r="J205" s="7">
        <v>2380.3000000000002</v>
      </c>
      <c r="K205" s="5">
        <f t="shared" ref="K205:K208" si="14">I205+J205</f>
        <v>2949.4500000000003</v>
      </c>
      <c r="L205" s="1" t="s">
        <v>33</v>
      </c>
      <c r="M205" s="1" t="s">
        <v>41</v>
      </c>
      <c r="N205" s="52" t="str">
        <f>HYPERLINK("https://drive.google.com/file/d/1n2n6bFbalR27mgx0yCwHsApdoo40uriS/view?usp=sharing","Leja dokumenti 05-351/02-0266683/17")</f>
        <v>Leja dokumenti 05-351/02-0266683/17</v>
      </c>
      <c r="O205" s="52" t="str">
        <f>HYPERLINK("https://drive.google.com/file/d/1dffNhPZ5Cao3CnQ8TQA88EC--CONTwpJ/view?usp=sharing","Situacioni")</f>
        <v>Situacioni</v>
      </c>
    </row>
    <row r="206" spans="1:15" ht="25.5" x14ac:dyDescent="0.2">
      <c r="A206" s="183">
        <v>185</v>
      </c>
      <c r="B206" s="125" t="s">
        <v>154</v>
      </c>
      <c r="C206" s="126" t="s">
        <v>74</v>
      </c>
      <c r="D206" s="1" t="s">
        <v>155</v>
      </c>
      <c r="E206" s="1" t="s">
        <v>24</v>
      </c>
      <c r="F206" s="1" t="s">
        <v>24</v>
      </c>
      <c r="G206" s="1" t="s">
        <v>25</v>
      </c>
      <c r="H206" s="4">
        <v>382.54</v>
      </c>
      <c r="I206" s="7">
        <v>2439.73</v>
      </c>
      <c r="J206" s="7">
        <v>2486.5100000000002</v>
      </c>
      <c r="K206" s="5">
        <f t="shared" si="14"/>
        <v>4926.24</v>
      </c>
      <c r="L206" s="1" t="s">
        <v>156</v>
      </c>
      <c r="M206" s="1" t="s">
        <v>157</v>
      </c>
      <c r="N206" s="52" t="str">
        <f>HYPERLINK("https://drive.google.com/file/d/1PS2aA07AhINmxA4fCsfiaqH-DqJkuF75/view?usp=sharing","Leja dokumenti 05-391-103617/1")</f>
        <v>Leja dokumenti 05-391-103617/1</v>
      </c>
      <c r="O206" s="52" t="str">
        <f>HYPERLINK("https://drive.google.com/file/d/1Xepc1g99C6hok1AA_PHnMqujb3hVZZsX/view?usp=sharing","Situacioni")</f>
        <v>Situacioni</v>
      </c>
    </row>
    <row r="207" spans="1:15" ht="25.5" x14ac:dyDescent="0.2">
      <c r="A207" s="183">
        <v>186</v>
      </c>
      <c r="B207" s="125" t="s">
        <v>158</v>
      </c>
      <c r="C207" s="126" t="s">
        <v>159</v>
      </c>
      <c r="D207" s="1" t="s">
        <v>160</v>
      </c>
      <c r="E207" s="1" t="s">
        <v>160</v>
      </c>
      <c r="F207" s="1" t="s">
        <v>161</v>
      </c>
      <c r="G207" s="1" t="s">
        <v>162</v>
      </c>
      <c r="H207" s="4">
        <v>136.66</v>
      </c>
      <c r="I207" s="7">
        <v>0</v>
      </c>
      <c r="J207" s="7">
        <v>888.29</v>
      </c>
      <c r="K207" s="5">
        <f t="shared" si="14"/>
        <v>888.29</v>
      </c>
      <c r="L207" s="1" t="s">
        <v>20</v>
      </c>
      <c r="M207" s="1" t="s">
        <v>163</v>
      </c>
      <c r="N207" s="52" t="str">
        <f>HYPERLINK("https://drive.google.com/file/d/1tsSMND5a2kVqwnQbbxHUKQM5ygA1V1-E/view?usp=sharing","Leja dokumenti 05-351/02-0292298/17")</f>
        <v>Leja dokumenti 05-351/02-0292298/17</v>
      </c>
      <c r="O207" s="52" t="str">
        <f>HYPERLINK("https://drive.google.com/file/d/1lCkcYhe8AhencjCPN_B4jSgqIbzs-Y1W/view?usp=sharing","Situacioni")</f>
        <v>Situacioni</v>
      </c>
    </row>
    <row r="208" spans="1:15" ht="25.5" x14ac:dyDescent="0.2">
      <c r="A208" s="183">
        <v>187</v>
      </c>
      <c r="B208" s="125" t="s">
        <v>164</v>
      </c>
      <c r="C208" s="126" t="s">
        <v>159</v>
      </c>
      <c r="D208" s="1" t="s">
        <v>165</v>
      </c>
      <c r="E208" s="1" t="s">
        <v>165</v>
      </c>
      <c r="F208" s="1" t="s">
        <v>165</v>
      </c>
      <c r="G208" s="1" t="s">
        <v>166</v>
      </c>
      <c r="H208" s="4">
        <v>259.26</v>
      </c>
      <c r="I208" s="7">
        <v>0</v>
      </c>
      <c r="J208" s="7">
        <v>259.26</v>
      </c>
      <c r="K208" s="5">
        <f t="shared" si="14"/>
        <v>259.26</v>
      </c>
      <c r="L208" s="1" t="s">
        <v>20</v>
      </c>
      <c r="M208" s="1" t="s">
        <v>21</v>
      </c>
      <c r="N208" s="52" t="str">
        <f>HYPERLINK("https://drive.google.com/file/d/1CKW8MZtZ9oMVp7IlEWKyir4dOtgV9dJV/view?usp=sharing","Leja dokumenti 05-351/02-0209465/17")</f>
        <v>Leja dokumenti 05-351/02-0209465/17</v>
      </c>
      <c r="O208" s="52" t="str">
        <f>HYPERLINK("https://drive.google.com/file/d/1pDCjsivAvZR3Gab1XD1i_lam0OlHXCrC/view?usp=sharing","Situacioni")</f>
        <v>Situacioni</v>
      </c>
    </row>
    <row r="209" spans="1:15" ht="25.5" x14ac:dyDescent="0.2">
      <c r="A209" s="183">
        <v>188</v>
      </c>
      <c r="B209" s="125" t="s">
        <v>167</v>
      </c>
      <c r="C209" s="126" t="s">
        <v>15</v>
      </c>
      <c r="D209" s="1" t="s">
        <v>168</v>
      </c>
      <c r="E209" s="1" t="s">
        <v>168</v>
      </c>
      <c r="F209" s="1" t="s">
        <v>169</v>
      </c>
      <c r="G209" s="1" t="s">
        <v>170</v>
      </c>
      <c r="H209" s="4">
        <v>60.67</v>
      </c>
      <c r="I209" s="7">
        <v>0</v>
      </c>
      <c r="J209" s="7">
        <v>394.35</v>
      </c>
      <c r="K209" s="5">
        <f>J209+I209</f>
        <v>394.35</v>
      </c>
      <c r="L209" s="1" t="s">
        <v>60</v>
      </c>
      <c r="M209" s="1" t="s">
        <v>157</v>
      </c>
      <c r="N209" s="52" t="str">
        <f>HYPERLINK("https://drive.google.com/file/d/1CM2eTjiAWYxq29U2NMozy8q9b9vk9HlG/view?usp=sharing","Leja dokumenti 05-351/02-0305174/17")</f>
        <v>Leja dokumenti 05-351/02-0305174/17</v>
      </c>
      <c r="O209" s="52" t="str">
        <f>HYPERLINK("https://drive.google.com/file/d/1fu5WYeBVy1-MRlDvTbitzol90yX1kgMc/view?usp=sharing","Situacioni")</f>
        <v>Situacioni</v>
      </c>
    </row>
    <row r="210" spans="1:15" ht="25.5" x14ac:dyDescent="0.2">
      <c r="A210" s="183">
        <v>189</v>
      </c>
      <c r="B210" s="125" t="s">
        <v>171</v>
      </c>
      <c r="C210" s="126" t="s">
        <v>172</v>
      </c>
      <c r="D210" s="1" t="s">
        <v>173</v>
      </c>
      <c r="E210" s="1" t="s">
        <v>173</v>
      </c>
      <c r="F210" s="1" t="s">
        <v>174</v>
      </c>
      <c r="G210" s="1" t="s">
        <v>175</v>
      </c>
      <c r="H210" s="4">
        <v>60262.26</v>
      </c>
      <c r="I210" s="7">
        <v>1351.11</v>
      </c>
      <c r="J210" s="7">
        <v>391705.34</v>
      </c>
      <c r="K210" s="6">
        <f t="shared" ref="K210:K211" si="15">I210+J210</f>
        <v>393056.45</v>
      </c>
      <c r="L210" s="1" t="s">
        <v>176</v>
      </c>
      <c r="M210" s="1" t="s">
        <v>34</v>
      </c>
      <c r="N210" s="52" t="str">
        <f>HYPERLINK("https://drive.google.com/file/d/11vGehlTDBSL5tw04JoL6Zypfply37_yd/view?usp=sharing","Leja dokumenti 05-351-300493")</f>
        <v>Leja dokumenti 05-351-300493</v>
      </c>
      <c r="O210" s="52" t="str">
        <f>HYPERLINK("https://drive.google.com/file/d/1SHUpBhCBMoKcsjjQXKRnqoX6SEHCt_mk/view?usp=sharing","Situacioni")</f>
        <v>Situacioni</v>
      </c>
    </row>
    <row r="211" spans="1:15" ht="25.5" x14ac:dyDescent="0.2">
      <c r="A211" s="183">
        <v>190</v>
      </c>
      <c r="B211" s="125" t="s">
        <v>177</v>
      </c>
      <c r="C211" s="126" t="s">
        <v>172</v>
      </c>
      <c r="D211" s="1" t="s">
        <v>178</v>
      </c>
      <c r="E211" s="1" t="s">
        <v>179</v>
      </c>
      <c r="F211" s="1" t="s">
        <v>88</v>
      </c>
      <c r="G211" s="1" t="s">
        <v>25</v>
      </c>
      <c r="H211" s="4">
        <v>3369.41</v>
      </c>
      <c r="I211" s="7">
        <v>20676.68</v>
      </c>
      <c r="J211" s="7">
        <v>21901.17</v>
      </c>
      <c r="K211" s="5">
        <f t="shared" si="15"/>
        <v>42577.85</v>
      </c>
      <c r="L211" s="1" t="s">
        <v>54</v>
      </c>
      <c r="M211" s="1" t="s">
        <v>55</v>
      </c>
      <c r="N211" s="52" t="str">
        <f>HYPERLINK("https://drive.google.com/file/d/1ABRMY4_eh1D85dhMZIoSM7Cl9QOlEdpj/view?usp=sharing","Leja dokumenti 05-351/02-0257360/17")</f>
        <v>Leja dokumenti 05-351/02-0257360/17</v>
      </c>
      <c r="O211" s="52" t="str">
        <f>HYPERLINK("https://drive.google.com/file/d/1gGbuCdW04cnuPJ-nrbXgr1u5TcrEzzMo/view?usp=sharing","Situacioni")</f>
        <v>Situacioni</v>
      </c>
    </row>
    <row r="212" spans="1:15" ht="12.75" customHeight="1" x14ac:dyDescent="0.2">
      <c r="A212" s="184">
        <v>191</v>
      </c>
      <c r="B212" s="224" t="s">
        <v>104</v>
      </c>
      <c r="C212" s="227" t="s">
        <v>99</v>
      </c>
      <c r="D212" s="200" t="s">
        <v>180</v>
      </c>
      <c r="E212" s="200" t="s">
        <v>180</v>
      </c>
      <c r="F212" s="200" t="s">
        <v>181</v>
      </c>
      <c r="G212" s="200" t="s">
        <v>39</v>
      </c>
      <c r="H212" s="215">
        <v>1200.8</v>
      </c>
      <c r="I212" s="18">
        <v>5425.97</v>
      </c>
      <c r="J212" s="18">
        <v>3902.6</v>
      </c>
      <c r="K212" s="196">
        <f>I212+J212+I213+J213</f>
        <v>18657.14</v>
      </c>
      <c r="L212" s="199" t="s">
        <v>182</v>
      </c>
      <c r="M212" s="199" t="s">
        <v>67</v>
      </c>
      <c r="N212" s="185" t="str">
        <f>HYPERLINK("https://drive.google.com/file/d/1MfUDdfuZ0XGKocZGNYrUKVsRnsQ_6mGZ/view?usp=sharing","Leja dokumenti 05-351/02-0078889/17")</f>
        <v>Leja dokumenti 05-351/02-0078889/17</v>
      </c>
      <c r="O212" s="185" t="str">
        <f>HYPERLINK("https://drive.google.com/file/d/1CyMXoFbcDh5oPYPJ6luRP1nl1Q7tXM_5/view?usp=sharing","Situacioni")</f>
        <v>Situacioni</v>
      </c>
    </row>
    <row r="213" spans="1:15" ht="12.75" customHeight="1" x14ac:dyDescent="0.2">
      <c r="A213" s="184"/>
      <c r="B213" s="226"/>
      <c r="C213" s="229"/>
      <c r="D213" s="202"/>
      <c r="E213" s="202"/>
      <c r="F213" s="202"/>
      <c r="G213" s="202"/>
      <c r="H213" s="217"/>
      <c r="I213" s="19">
        <v>5425.97</v>
      </c>
      <c r="J213" s="19">
        <v>3902.6</v>
      </c>
      <c r="K213" s="198"/>
      <c r="L213" s="199"/>
      <c r="M213" s="199"/>
      <c r="N213" s="185"/>
      <c r="O213" s="185"/>
    </row>
    <row r="214" spans="1:15" ht="25.5" x14ac:dyDescent="0.2">
      <c r="A214" s="183">
        <v>192</v>
      </c>
      <c r="B214" s="125" t="s">
        <v>183</v>
      </c>
      <c r="C214" s="126" t="s">
        <v>99</v>
      </c>
      <c r="D214" s="1" t="s">
        <v>184</v>
      </c>
      <c r="E214" s="1" t="s">
        <v>184</v>
      </c>
      <c r="F214" s="1" t="s">
        <v>185</v>
      </c>
      <c r="G214" s="1" t="s">
        <v>186</v>
      </c>
      <c r="H214" s="4">
        <v>4161</v>
      </c>
      <c r="I214" s="7">
        <v>0</v>
      </c>
      <c r="J214" s="7">
        <v>27046.5</v>
      </c>
      <c r="K214" s="5">
        <f>I214+J214</f>
        <v>27046.5</v>
      </c>
      <c r="L214" s="1" t="s">
        <v>187</v>
      </c>
      <c r="M214" s="1" t="s">
        <v>188</v>
      </c>
      <c r="N214" s="52" t="str">
        <f>HYPERLINK("https://drive.google.com/file/d/1TMUs_IoxhCMqrH0LeDswWyfVGf1fQyha/view?usp=sharing","Leja dokumenti 05-351/02-0231396/17")</f>
        <v>Leja dokumenti 05-351/02-0231396/17</v>
      </c>
      <c r="O214" s="52" t="str">
        <f>HYPERLINK("https://drive.google.com/file/d/1rXztLMM-bX1YtAEZXWjLpZpONlI5BnTQ/view?usp=sharing","Situacioni")</f>
        <v>Situacioni</v>
      </c>
    </row>
    <row r="215" spans="1:15" ht="12.75" customHeight="1" x14ac:dyDescent="0.2">
      <c r="A215" s="184">
        <v>193</v>
      </c>
      <c r="B215" s="224" t="s">
        <v>189</v>
      </c>
      <c r="C215" s="227" t="s">
        <v>190</v>
      </c>
      <c r="D215" s="200" t="s">
        <v>191</v>
      </c>
      <c r="E215" s="200" t="s">
        <v>192</v>
      </c>
      <c r="F215" s="200" t="s">
        <v>192</v>
      </c>
      <c r="G215" s="200" t="s">
        <v>119</v>
      </c>
      <c r="H215" s="215">
        <v>31760.05</v>
      </c>
      <c r="I215" s="233">
        <v>52199.91</v>
      </c>
      <c r="J215" s="18">
        <v>111104.47</v>
      </c>
      <c r="K215" s="196">
        <f>J218+J217+J216+J215+I215</f>
        <v>258845.17</v>
      </c>
      <c r="L215" s="199" t="s">
        <v>193</v>
      </c>
      <c r="M215" s="199" t="s">
        <v>194</v>
      </c>
      <c r="N215" s="185" t="str">
        <f>HYPERLINK("https://drive.google.com/file/d/1tHwf3Hg0L46qNTXG_ifNjUYZ7lG8OOR5/view?usp=sharing","Leja dokumenti 05-351-02/0243054/17")</f>
        <v>Leja dokumenti 05-351-02/0243054/17</v>
      </c>
      <c r="O215" s="185" t="str">
        <f>HYPERLINK("https://drive.google.com/file/d/1R2-QdI0uE9wCnO95JU3t7Nr2t7eE42_q/view?usp=sharing","Situacioni")</f>
        <v>Situacioni</v>
      </c>
    </row>
    <row r="216" spans="1:15" ht="12.75" customHeight="1" x14ac:dyDescent="0.2">
      <c r="A216" s="184"/>
      <c r="B216" s="225"/>
      <c r="C216" s="228"/>
      <c r="D216" s="201"/>
      <c r="E216" s="201"/>
      <c r="F216" s="201"/>
      <c r="G216" s="201"/>
      <c r="H216" s="216"/>
      <c r="I216" s="234"/>
      <c r="J216" s="21">
        <v>23094.48</v>
      </c>
      <c r="K216" s="197"/>
      <c r="L216" s="199"/>
      <c r="M216" s="199"/>
      <c r="N216" s="185"/>
      <c r="O216" s="185"/>
    </row>
    <row r="217" spans="1:15" ht="12.75" customHeight="1" x14ac:dyDescent="0.2">
      <c r="A217" s="184"/>
      <c r="B217" s="225"/>
      <c r="C217" s="228"/>
      <c r="D217" s="201"/>
      <c r="E217" s="201"/>
      <c r="F217" s="201"/>
      <c r="G217" s="201"/>
      <c r="H217" s="216"/>
      <c r="I217" s="231" t="s">
        <v>121</v>
      </c>
      <c r="J217" s="21">
        <v>72241.820000000007</v>
      </c>
      <c r="K217" s="197"/>
      <c r="L217" s="199"/>
      <c r="M217" s="199"/>
      <c r="N217" s="185"/>
      <c r="O217" s="185"/>
    </row>
    <row r="218" spans="1:15" ht="12.75" customHeight="1" x14ac:dyDescent="0.2">
      <c r="A218" s="184"/>
      <c r="B218" s="226"/>
      <c r="C218" s="229"/>
      <c r="D218" s="202"/>
      <c r="E218" s="202"/>
      <c r="F218" s="202"/>
      <c r="G218" s="202"/>
      <c r="H218" s="217"/>
      <c r="I218" s="232"/>
      <c r="J218" s="19">
        <v>204.49</v>
      </c>
      <c r="K218" s="198"/>
      <c r="L218" s="199"/>
      <c r="M218" s="199"/>
      <c r="N218" s="185"/>
      <c r="O218" s="185"/>
    </row>
    <row r="219" spans="1:15" ht="25.5" x14ac:dyDescent="0.2">
      <c r="A219" s="183">
        <v>194</v>
      </c>
      <c r="B219" s="127" t="s">
        <v>139</v>
      </c>
      <c r="C219" s="128" t="s">
        <v>195</v>
      </c>
      <c r="D219" s="28" t="s">
        <v>196</v>
      </c>
      <c r="E219" s="1" t="s">
        <v>196</v>
      </c>
      <c r="F219" s="1" t="s">
        <v>197</v>
      </c>
      <c r="G219" s="3" t="s">
        <v>198</v>
      </c>
      <c r="H219" s="4">
        <v>312</v>
      </c>
      <c r="I219" s="26" t="s">
        <v>127</v>
      </c>
      <c r="J219" s="26" t="s">
        <v>127</v>
      </c>
      <c r="K219" s="5" t="s">
        <v>127</v>
      </c>
      <c r="L219" s="1" t="s">
        <v>20</v>
      </c>
      <c r="M219" s="1" t="s">
        <v>21</v>
      </c>
      <c r="N219" s="52" t="str">
        <f>HYPERLINK("https://drive.google.com/file/d/1epHBt0tSIdGQrjCDbzxEa5-SieMzkl5D/view?usp=sharing","Leja dokumenti 05-351/02-0309604/17")</f>
        <v>Leja dokumenti 05-351/02-0309604/17</v>
      </c>
      <c r="O219" s="52" t="str">
        <f>HYPERLINK("https://drive.google.com/file/d/1osCddfZ7wADOqEIj9mqzQDRuZw2Q3hoG/view?usp=sharing","Situacioni")</f>
        <v>Situacioni</v>
      </c>
    </row>
    <row r="220" spans="1:15" ht="25.5" x14ac:dyDescent="0.2">
      <c r="A220" s="183">
        <v>195</v>
      </c>
      <c r="B220" s="129" t="s">
        <v>68</v>
      </c>
      <c r="C220" s="130" t="s">
        <v>195</v>
      </c>
      <c r="D220" s="36" t="s">
        <v>199</v>
      </c>
      <c r="E220" s="35" t="s">
        <v>200</v>
      </c>
      <c r="F220" s="1" t="s">
        <v>201</v>
      </c>
      <c r="G220" s="1" t="s">
        <v>186</v>
      </c>
      <c r="H220" s="4">
        <v>1001.6</v>
      </c>
      <c r="I220" s="7">
        <v>0</v>
      </c>
      <c r="J220" s="7">
        <v>6510.4</v>
      </c>
      <c r="K220" s="5">
        <f>I220+J220</f>
        <v>6510.4</v>
      </c>
      <c r="L220" s="1" t="s">
        <v>40</v>
      </c>
      <c r="M220" s="1" t="s">
        <v>34</v>
      </c>
      <c r="N220" s="52" t="str">
        <f>HYPERLINK("https://drive.google.com/file/d/1TFTj-nhz_3zvzs-AncP_8MqGoFE7aKfT/view?usp=sharing","Leja dokumenti 05-351/02-0179854/17")</f>
        <v>Leja dokumenti 05-351/02-0179854/17</v>
      </c>
      <c r="O220" s="52" t="str">
        <f>HYPERLINK("https://drive.google.com/file/d/1cZ92sDPNkxsUngrclrCy7pAZ8HrpDlpO/view?usp=sharing","Situacioni")</f>
        <v>Situacioni</v>
      </c>
    </row>
    <row r="221" spans="1:15" ht="15" x14ac:dyDescent="0.2">
      <c r="A221" s="33"/>
      <c r="B221" s="34"/>
      <c r="C221" s="34"/>
    </row>
    <row r="222" spans="1:15" ht="27.75" customHeight="1" x14ac:dyDescent="0.2">
      <c r="A222" s="33"/>
      <c r="B222" s="34"/>
      <c r="C222" s="34"/>
      <c r="G222" s="48" t="s">
        <v>203</v>
      </c>
      <c r="H222" s="22">
        <f>SUM(H7:H220)</f>
        <v>869684.20000000019</v>
      </c>
      <c r="I222" s="23">
        <f>SUM(I7:I220)</f>
        <v>3848960.1490000007</v>
      </c>
      <c r="J222" s="23">
        <f>SUM(J7:J220)</f>
        <v>5703560.4699999979</v>
      </c>
      <c r="K222" s="24">
        <f>I222+J222</f>
        <v>9552520.618999999</v>
      </c>
    </row>
    <row r="224" spans="1:15" x14ac:dyDescent="0.2">
      <c r="L224" s="170"/>
    </row>
    <row r="225" spans="3:13" x14ac:dyDescent="0.2">
      <c r="C225" s="34"/>
      <c r="D225" s="34"/>
      <c r="E225" s="34"/>
      <c r="F225" s="34"/>
      <c r="G225" s="34"/>
      <c r="H225" s="34"/>
      <c r="I225" s="34"/>
      <c r="J225" s="34"/>
      <c r="K225" s="34"/>
      <c r="L225" s="144"/>
      <c r="M225" s="34"/>
    </row>
    <row r="226" spans="3:13" x14ac:dyDescent="0.2">
      <c r="C226" s="34"/>
      <c r="D226" s="34"/>
      <c r="E226" s="34"/>
      <c r="F226" s="34"/>
      <c r="G226" s="34"/>
      <c r="H226" s="34"/>
      <c r="I226" s="34"/>
      <c r="J226" s="34"/>
      <c r="K226" s="34"/>
      <c r="L226" s="34"/>
      <c r="M226" s="34"/>
    </row>
  </sheetData>
  <autoFilter ref="B6:M220"/>
  <mergeCells count="137">
    <mergeCell ref="B198:B199"/>
    <mergeCell ref="C192:C194"/>
    <mergeCell ref="B192:B194"/>
    <mergeCell ref="L188:L190"/>
    <mergeCell ref="K188:K190"/>
    <mergeCell ref="G188:G190"/>
    <mergeCell ref="C188:C190"/>
    <mergeCell ref="B188:B190"/>
    <mergeCell ref="B215:B218"/>
    <mergeCell ref="B212:B213"/>
    <mergeCell ref="H200:H204"/>
    <mergeCell ref="G200:G204"/>
    <mergeCell ref="F200:F204"/>
    <mergeCell ref="E200:E204"/>
    <mergeCell ref="D200:D204"/>
    <mergeCell ref="C200:C204"/>
    <mergeCell ref="B200:B204"/>
    <mergeCell ref="C212:C213"/>
    <mergeCell ref="N188:N190"/>
    <mergeCell ref="O188:O190"/>
    <mergeCell ref="N192:N194"/>
    <mergeCell ref="B175:B177"/>
    <mergeCell ref="A175:A177"/>
    <mergeCell ref="M175:M177"/>
    <mergeCell ref="N175:N177"/>
    <mergeCell ref="H175:H177"/>
    <mergeCell ref="C175:C177"/>
    <mergeCell ref="D175:D177"/>
    <mergeCell ref="E175:E177"/>
    <mergeCell ref="O175:O177"/>
    <mergeCell ref="D192:D194"/>
    <mergeCell ref="E192:E194"/>
    <mergeCell ref="H188:H190"/>
    <mergeCell ref="D188:D190"/>
    <mergeCell ref="H192:H194"/>
    <mergeCell ref="F192:F194"/>
    <mergeCell ref="K175:K177"/>
    <mergeCell ref="L175:L177"/>
    <mergeCell ref="E188:E190"/>
    <mergeCell ref="F188:F190"/>
    <mergeCell ref="M188:M190"/>
    <mergeCell ref="M192:M194"/>
    <mergeCell ref="M198:M199"/>
    <mergeCell ref="K192:K194"/>
    <mergeCell ref="L192:L194"/>
    <mergeCell ref="O212:O213"/>
    <mergeCell ref="N212:N213"/>
    <mergeCell ref="O215:O218"/>
    <mergeCell ref="C215:C218"/>
    <mergeCell ref="N200:N204"/>
    <mergeCell ref="O200:O204"/>
    <mergeCell ref="H212:H213"/>
    <mergeCell ref="F215:F218"/>
    <mergeCell ref="E215:E218"/>
    <mergeCell ref="E212:E213"/>
    <mergeCell ref="K215:K218"/>
    <mergeCell ref="L215:L218"/>
    <mergeCell ref="K212:K213"/>
    <mergeCell ref="L212:L213"/>
    <mergeCell ref="M215:M218"/>
    <mergeCell ref="K200:K204"/>
    <mergeCell ref="L200:L204"/>
    <mergeCell ref="M212:M213"/>
    <mergeCell ref="M200:M204"/>
    <mergeCell ref="C198:C199"/>
    <mergeCell ref="N145:N146"/>
    <mergeCell ref="L161:L162"/>
    <mergeCell ref="M161:M162"/>
    <mergeCell ref="N161:N162"/>
    <mergeCell ref="O192:O194"/>
    <mergeCell ref="G212:G213"/>
    <mergeCell ref="G215:G218"/>
    <mergeCell ref="D212:D213"/>
    <mergeCell ref="D215:D218"/>
    <mergeCell ref="H215:H218"/>
    <mergeCell ref="I217:I218"/>
    <mergeCell ref="I215:I216"/>
    <mergeCell ref="F212:F213"/>
    <mergeCell ref="N215:N218"/>
    <mergeCell ref="O198:O199"/>
    <mergeCell ref="N198:N199"/>
    <mergeCell ref="G192:G194"/>
    <mergeCell ref="D198:D199"/>
    <mergeCell ref="F198:F199"/>
    <mergeCell ref="H198:H199"/>
    <mergeCell ref="G198:G199"/>
    <mergeCell ref="E198:E199"/>
    <mergeCell ref="L198:L199"/>
    <mergeCell ref="K198:K199"/>
    <mergeCell ref="A4:M4"/>
    <mergeCell ref="A5:M5"/>
    <mergeCell ref="A3:M3"/>
    <mergeCell ref="A1:M2"/>
    <mergeCell ref="H170:H172"/>
    <mergeCell ref="M170:M172"/>
    <mergeCell ref="A145:A146"/>
    <mergeCell ref="B145:B146"/>
    <mergeCell ref="N1:O5"/>
    <mergeCell ref="N170:N172"/>
    <mergeCell ref="O170:O172"/>
    <mergeCell ref="B170:B172"/>
    <mergeCell ref="C170:C172"/>
    <mergeCell ref="D170:D172"/>
    <mergeCell ref="E170:E172"/>
    <mergeCell ref="F170:F172"/>
    <mergeCell ref="G170:G172"/>
    <mergeCell ref="C145:C146"/>
    <mergeCell ref="D145:D146"/>
    <mergeCell ref="E145:E146"/>
    <mergeCell ref="F145:F146"/>
    <mergeCell ref="G145:G146"/>
    <mergeCell ref="H145:H146"/>
    <mergeCell ref="K145:K146"/>
    <mergeCell ref="A215:A218"/>
    <mergeCell ref="A212:A213"/>
    <mergeCell ref="A192:A194"/>
    <mergeCell ref="A188:A190"/>
    <mergeCell ref="A198:A199"/>
    <mergeCell ref="A200:A204"/>
    <mergeCell ref="O145:O146"/>
    <mergeCell ref="O161:O162"/>
    <mergeCell ref="A161:A162"/>
    <mergeCell ref="B161:B162"/>
    <mergeCell ref="C161:C162"/>
    <mergeCell ref="D161:D162"/>
    <mergeCell ref="E161:E162"/>
    <mergeCell ref="F161:F162"/>
    <mergeCell ref="G161:G162"/>
    <mergeCell ref="H161:H162"/>
    <mergeCell ref="K161:K162"/>
    <mergeCell ref="A170:A172"/>
    <mergeCell ref="K170:K172"/>
    <mergeCell ref="L170:L172"/>
    <mergeCell ref="F175:F177"/>
    <mergeCell ref="G175:G177"/>
    <mergeCell ref="L145:L146"/>
    <mergeCell ref="M145:M146"/>
  </mergeCells>
  <hyperlinks>
    <hyperlink ref="N99" r:id="rId1" display="https://drive.google.com/open?id=1vUl2uAr_713qNmEMo2WhTnxkRS4R_0vK"/>
    <hyperlink ref="O99" r:id="rId2" display="https://drive.google.com/open?id=1yi2cscDynFH_uiZEYJDpD_N_IByxHidT"/>
    <hyperlink ref="N100" r:id="rId3" display="https://drive.google.com/open?id=1kO4jF2BdTMpWWX4UkpTMzcaYD-WzAFym"/>
    <hyperlink ref="O100" r:id="rId4" display="https://drive.google.com/open?id=1RynK_Y1FOq8o7ViT-rWxy7h7GsZZXMVI"/>
    <hyperlink ref="N102" r:id="rId5" display="https://drive.google.com/open?id=1GdN3bVV2N6Wbmt2ZDpQCFXIw1xrOySCc"/>
    <hyperlink ref="O102" r:id="rId6" display="https://drive.google.com/open?id=1nUgL0zhc7CSFL-jfWG2rI5Fw4aWMX3f2"/>
    <hyperlink ref="N103" r:id="rId7" display="https://drive.google.com/open?id=1PIzM6ZLp0_gCR4gEL2Vp969kiC27IKd6"/>
    <hyperlink ref="O103" r:id="rId8" display="https://drive.google.com/open?id=1cUhF7EfDyX_5VCCjhHTyrD6P8t-EH9RD"/>
    <hyperlink ref="N108" r:id="rId9" display="https://drive.google.com/open?id=1xILi32x4XaNho9o0n2ZMOlxm3ZETyS_l"/>
    <hyperlink ref="O108" r:id="rId10" display="https://drive.google.com/open?id=1ZZc47so5GEmbs3pX2B-UaMA7KVe2D_sI"/>
    <hyperlink ref="N111" r:id="rId11" display="https://drive.google.com/open?id=1rEJ2170loQsZIM76QJv-nwgyh3Q5R8sh"/>
    <hyperlink ref="O111" r:id="rId12" display="https://drive.google.com/open?id=1963uvchaqmvjCikfaYFohY348WVLgtbn"/>
    <hyperlink ref="N113" r:id="rId13" display="https://drive.google.com/open?id=127O_ZGqeustmHMMjxGxsClGEHaa4cJoy"/>
    <hyperlink ref="O113" r:id="rId14" display="https://drive.google.com/open?id=1DcLT8r7RrA5MWhVudo6wDHNGNFhL4W0y"/>
    <hyperlink ref="N114" r:id="rId15" display="https://drive.google.com/open?id=11uIU8uHZ49xjzFiFcl6PjCA0EEEUMaeM"/>
    <hyperlink ref="O114" r:id="rId16" display="https://drive.google.com/open?id=1mVa6C62tNNWKb1RfYsL1Lh4xpMy_Aw66"/>
    <hyperlink ref="N116" r:id="rId17" display="https://drive.google.com/open?id=1vGSCzUhtH0RgsSo1BdGv0-HWhq-9FVMf"/>
    <hyperlink ref="O116" r:id="rId18" display="https://drive.google.com/open?id=128EtSlYuDP49lZkpFVhD7mX3Y0B5ys2i"/>
    <hyperlink ref="N117" r:id="rId19" display="https://drive.google.com/open?id=1KC7hAY_YFDphJGEkbdSIB9xG5MNeKqqL"/>
    <hyperlink ref="O117" r:id="rId20" display="https://drive.google.com/open?id=1NGZ9kprsypqxT4vDrLCsCTUSLz3mGjIW"/>
    <hyperlink ref="N120" r:id="rId21" display="https://drive.google.com/open?id=1t6oVRFpiHghOyljUleqDEEu_KlRUXF3S"/>
    <hyperlink ref="O120" r:id="rId22" display="https://drive.google.com/open?id=1KQoVsUjGhK0B0XBtKxwWC1KhX-KvVIfJ"/>
    <hyperlink ref="N121" r:id="rId23" display="https://drive.google.com/open?id=1ei0V4DHs3RcdyjT0zA7J_FjkVBcJS3UO"/>
    <hyperlink ref="O121" r:id="rId24" display="https://drive.google.com/open?id=1DoQp5fmiOFGOSi8fz0SlVCGZwFtK7vOA"/>
    <hyperlink ref="N122" r:id="rId25" display="https://drive.google.com/open?id=18My-q2tmNt7DaGKhjUC1qQqlfnTfhIh9"/>
    <hyperlink ref="O122" r:id="rId26" display="https://drive.google.com/open?id=1loh64qz8NpwoqZypdIMjpF2B6-VQfkBl"/>
    <hyperlink ref="N118" r:id="rId27" display="https://drive.google.com/open?id=1Xz168PuK2_a02ACWRvj2TCsEJEGq1wC0"/>
    <hyperlink ref="O118" r:id="rId28" display="https://drive.google.com/open?id=10K7mapgqpLGMZkqVYk2D7tCr5TdwhHi-"/>
    <hyperlink ref="N119" r:id="rId29" display="https://drive.google.com/open?id=1z-k9HZ9auwmbvhWuIttpLJBtf6ckXOkP"/>
    <hyperlink ref="O119" r:id="rId30" display="https://drive.google.com/open?id=10K7mapgqpLGMZkqVYk2D7tCr5TdwhHi-"/>
    <hyperlink ref="N148" r:id="rId31" display="https://drive.google.com/open?id=1FZEBmwA36d3rJ7D2Nv9ktN5Evalc7meO"/>
    <hyperlink ref="O148" r:id="rId32" display="https://drive.google.com/open?id=16urScgu1Vv6O15gk5jLmLsIvnMBs7lnR"/>
    <hyperlink ref="N60" r:id="rId33" display="https://drive.google.com/open?id=1foeHB4x95-YQanixQVujer7irUuD1lD1"/>
    <hyperlink ref="O60" r:id="rId34" display="https://drive.google.com/open?id=1xkiNE1WZL_O2PJ-IAEHVCcV4GWTUJ8tQ"/>
    <hyperlink ref="N61" r:id="rId35" display="https://drive.google.com/open?id=1foeHB4x95-YQanixQVujer7irUuD1lD1"/>
    <hyperlink ref="O61" r:id="rId36" display="https://drive.google.com/open?id=1xkiNE1WZL_O2PJ-IAEHVCcV4GWTUJ8tQ"/>
    <hyperlink ref="N62" r:id="rId37" display="https://drive.google.com/open?id=190yqE-Y5ZNEScNVpn226i6A4U5gTKPTI"/>
    <hyperlink ref="O62" r:id="rId38" display="https://drive.google.com/open?id=1IoJP30oR_ESajDgI2MrzbHzuJVc8sWil"/>
    <hyperlink ref="N63" r:id="rId39" display="https://drive.google.com/open?id=1gMy_jgiGSI7UFhGD7WM09fQjijarJ_iz"/>
    <hyperlink ref="O63" r:id="rId40" display="https://drive.google.com/open?id=1akozzZYcw5bPJy9_dBmYgUO-QwJ8Ck9O"/>
    <hyperlink ref="N64" r:id="rId41" display="https://drive.google.com/open?id=1gMG-iSXAWW3l51mKcs8XjcWlBSNVRqzD"/>
    <hyperlink ref="O64" r:id="rId42" display="https://drive.google.com/open?id=12kQdBOPQr2XzdVDL3DFqQCzbAa3LDLdK"/>
    <hyperlink ref="N65" r:id="rId43" display="https://drive.google.com/open?id=1v-L3DRvg_RkPDikWzl--F0TiyoExatK0"/>
    <hyperlink ref="O65" r:id="rId44" display="https://drive.google.com/open?id=1v-5s2uOc8b4q2ky_K2xSOsp1brs1e3_z"/>
    <hyperlink ref="N66" r:id="rId45" display="https://drive.google.com/open?id=1m6BWwRtLAJHpdbOvg-1qzPxArEGtYQJ8"/>
    <hyperlink ref="O66" r:id="rId46" display="https://drive.google.com/open?id=1cJNJ8l57fJ9bakrt8vKHU67YNFOWyOwE"/>
    <hyperlink ref="N67" r:id="rId47" display="https://drive.google.com/open?id=1tbF5oSQCj0aJHYIJXq5EghZv81zBpSMv"/>
    <hyperlink ref="O67" r:id="rId48" display="https://drive.google.com/open?id=1dIvA5dvz4W8NHRE8U1LKfKJ6xNXhYjkI"/>
    <hyperlink ref="N68" r:id="rId49" display="https://drive.google.com/open?id=1nPKwos-Qmlk48bL5Huz9CemomtWfMEa2"/>
    <hyperlink ref="O68" r:id="rId50" display="https://drive.google.com/open?id=1ElBUun_Hjfkf1ZBIKSFKUvOWOUO5PImf"/>
    <hyperlink ref="N69" r:id="rId51" display="https://drive.google.com/open?id=1yVRq5pvOcIiiAmUVRCwqorYFEgJt3d3F"/>
    <hyperlink ref="O69" r:id="rId52" display="https://drive.google.com/open?id=1KnbubvOcU7mcrhjiuPcdPkZ04C8oAWpY"/>
    <hyperlink ref="N70" r:id="rId53" display="https://drive.google.com/open?id=1oDOCHmqq-Hnt5ctc9-lyU6HfGKx4HcFU"/>
    <hyperlink ref="O70" r:id="rId54" display="https://drive.google.com/open?id=1he0zTxFF5cD7SYiNvnJAZmltPJfTaw_u"/>
    <hyperlink ref="N71" r:id="rId55" display="https://drive.google.com/open?id=1loR5metgDKtMgX4JlnaPxi9DsD8OHtvK"/>
    <hyperlink ref="O71" r:id="rId56" display="https://drive.google.com/open?id=1kgw3MaCWYSzqR4TZs2kZXBIRS4E-D5lg"/>
    <hyperlink ref="N72" r:id="rId57" display="https://drive.google.com/open?id=1LhIpmZ-cSKwvYmtV4GDtx6i8UoN9_nA_"/>
    <hyperlink ref="O72" r:id="rId58" display="https://drive.google.com/open?id=13BArmgl5z_XtEbVUY5BHaPQBwJo8XiJn"/>
    <hyperlink ref="N79" r:id="rId59" display="https://drive.google.com/open?id=1oKMQ0l-crQUr87id3F10bc6p3LYc-Xkn"/>
    <hyperlink ref="O79" r:id="rId60" display="https://drive.google.com/open?id=14UIoUmj_uSe5dsgNoM0uZasuA4b-XW05"/>
    <hyperlink ref="N80" r:id="rId61" display="https://drive.google.com/open?id=1AXpx3rON0aadhuZN3Hr7Mr-9mqXEh6Jo"/>
    <hyperlink ref="O80" r:id="rId62" display="https://drive.google.com/open?id=1XkwbtRULA5NLlbh2_uvQxe6YC8VAXWT-"/>
    <hyperlink ref="N81" r:id="rId63" display="https://drive.google.com/open?id=1CHfJ6DnTd_J2aQhm5QDj-MY-6Uy5blbl"/>
    <hyperlink ref="O81" r:id="rId64" display="https://drive.google.com/open?id=1fP7uh2naqRGyjsSIxioKRvFzqCCruJjp"/>
    <hyperlink ref="N82" r:id="rId65" display="https://drive.google.com/open?id=1tiN1FDYDWiDNmhhsntynWVVbHoqCKxxo"/>
    <hyperlink ref="O82" r:id="rId66" display="https://drive.google.com/open?id=1zjDclzU4bv5GL24Ht7tZpew9PXKnA4OI"/>
    <hyperlink ref="N84" r:id="rId67" display="https://drive.google.com/open?id=1ZjKXv7FjZVjhlawyU-jdjJV75cQxBGzg"/>
    <hyperlink ref="O84" r:id="rId68" display="https://drive.google.com/open?id=1uCcxz9ifWsgfXIY41iD7tCwcVWqLVTVm"/>
    <hyperlink ref="N86" r:id="rId69" display="https://drive.google.com/open?id=1-NO1LuvJlDPIJ4HnlL-A2IDVCbr5kMlr"/>
    <hyperlink ref="O86" r:id="rId70" display="https://drive.google.com/open?id=1DiiUfQcZ_f0b3dsXTVj8EiNtSiIage8f"/>
    <hyperlink ref="N87" r:id="rId71" display="https://drive.google.com/open?id=1xz63e6VfUofZZhhzTYaZwtbxHR5FMunj"/>
    <hyperlink ref="O87" r:id="rId72" display="https://drive.google.com/open?id=1KSnKUmSrI64hqY3pMuINMAWHYpvepS0j"/>
    <hyperlink ref="N94" r:id="rId73" display="https://drive.google.com/open?id=104Ym4AiyDfD81IjLkkDMdD2hpaXMmZZ0"/>
    <hyperlink ref="O94" r:id="rId74" display="https://drive.google.com/open?id=1wyGsedLZsOhq-ZwIpP8NrHVhGDrE5JMD"/>
    <hyperlink ref="N95" r:id="rId75" display="https://drive.google.com/open?id=1o2DZjjTBgoNnIrY6O69ihCMNJVLPzJXp"/>
    <hyperlink ref="O95" r:id="rId76" display="https://drive.google.com/open?id=18vmdb6hmxqRAyoWP4EYecy9xqjcH53iW"/>
    <hyperlink ref="N98" r:id="rId77" display="https://drive.google.com/open?id=10GjZWvi2xv4E6Q44wRUeOBCRDg0tKKW2"/>
    <hyperlink ref="O98" r:id="rId78" display="https://drive.google.com/open?id=1Zbw_cV_5UmcdktlKz40TvCsCELXOZaz4"/>
    <hyperlink ref="N101" r:id="rId79" display="https://drive.google.com/open?id=1jq6XrIAO9FOiyugVOlQTFzxPxJy96V91"/>
    <hyperlink ref="O101" r:id="rId80" display="https://drive.google.com/open?id=1aAfHY6bqAgN33ec1Ll1C1MJTA95x6IvS"/>
    <hyperlink ref="N104" r:id="rId81" display="https://drive.google.com/open?id=1QUgm9VgBWRVu2krvDuS-7vkBR8uSisv1"/>
    <hyperlink ref="O104" r:id="rId82" display="https://drive.google.com/open?id=1Reobi5_ACjNlV1xSYrI2zIwJ0FSEAEE2"/>
    <hyperlink ref="N105" r:id="rId83" display="https://drive.google.com/open?id=1cZa6Fjjr9gJHp7kHpVGWyXxxhlN4iFVY"/>
    <hyperlink ref="O105" r:id="rId84" display="https://drive.google.com/open?id=1aZpV2jgKVbkF5aSMMsUtUBv_iCUmUQix"/>
    <hyperlink ref="N106" r:id="rId85" display="https://drive.google.com/open?id=1n_cSuftc_QXj8jUIBJJNFRz1T3FBASep"/>
    <hyperlink ref="O106" r:id="rId86" display="https://drive.google.com/open?id=1YNeJpF77jVebpRE3M1529rhgaNMd1pFf"/>
    <hyperlink ref="N107" r:id="rId87" display="https://drive.google.com/open?id=19KNdEqbqDyIl8k7GcXmWV3jtQDctrSfq"/>
    <hyperlink ref="O107" r:id="rId88" display="https://drive.google.com/open?id=1k-s8pZrUf1Hr_SfJ06fzRjW12AiC4jhr"/>
    <hyperlink ref="N109" r:id="rId89" display="https://drive.google.com/open?id=1Ntcz788AoLcMJyHiOI7WB2Ni-JO_NUkD"/>
    <hyperlink ref="O109" r:id="rId90" display="https://drive.google.com/open?id=1-cubpOwzpnJqDBH26kO7bojQzXjSrqzR"/>
    <hyperlink ref="N110" r:id="rId91" display="https://drive.google.com/open?id=1bpwn6q4eYJQ0Yk0A9_r4pfLojmd2TijL"/>
    <hyperlink ref="O110" r:id="rId92" display="https://drive.google.com/open?id=1o3iFTqSQMT1KUshed-IqpXbe-oh4NTpb"/>
    <hyperlink ref="N112" r:id="rId93" display="https://drive.google.com/open?id=1OReJ0jdrw6iNz407SN1wOMUbrFVWGTsX"/>
    <hyperlink ref="O112" r:id="rId94" display="https://drive.google.com/open?id=1FOnnDzbHNyUhd3vzB52SVueNsLIJV5my"/>
    <hyperlink ref="N115" r:id="rId95" display="https://drive.google.com/open?id=1xQOWX8bCvVYklT1oOS2tACdx-z20gwke"/>
    <hyperlink ref="O115" r:id="rId96" display="https://drive.google.com/open?id=1HTl98MVqWAFzSJ3d4tNV7SCC_s9Cjjd5"/>
    <hyperlink ref="N42" r:id="rId97" display="https://drive.google.com/open?id=1oLGAr9RoXooK1ZyCEMmEFmL0jLO531lT"/>
    <hyperlink ref="O42" r:id="rId98" display="https://drive.google.com/open?id=14x59sgPwsPhRJp_EPxilbGZ590bcfAgt"/>
    <hyperlink ref="N43" r:id="rId99" display="https://drive.google.com/open?id=1sNUGekdpN5c9pgIB1dFYhuzvrqc4Tep3"/>
    <hyperlink ref="O43" r:id="rId100" display="https://drive.google.com/open?id=1w2z7DYxSPGMaoxWs1atZa2WH8S1XdRpl"/>
    <hyperlink ref="N44" r:id="rId101" display="https://drive.google.com/open?id=10-Ze2F7J1ziFcc_cvASU1D5kqykMrUIq"/>
    <hyperlink ref="O44" r:id="rId102" display="https://drive.google.com/open?id=19j6GqoLMrk_D8MpTgQ3MWL1724jB1XCg"/>
    <hyperlink ref="N45" r:id="rId103" display="https://drive.google.com/open?id=1hEF8cgJrO6YhVSy8AjJD-bORFlTYWJZj"/>
    <hyperlink ref="O45" r:id="rId104" display="https://drive.google.com/open?id=14t0s-6EulWw59kIseijLNblYV7AQcVq-"/>
    <hyperlink ref="N46" r:id="rId105" display="https://drive.google.com/open?id=1ZwXlZQQVeC4q1bwLKMrBy6pgjNBNfiwr"/>
    <hyperlink ref="O46" r:id="rId106" display="https://drive.google.com/open?id=1RT4GH98sA5ZCwo8YuIXl3E1JX2fUghwD"/>
    <hyperlink ref="N47" r:id="rId107" display="https://drive.google.com/open?id=1pe0HNv1n6hVewnonRPANHbeyNl43wvwE"/>
    <hyperlink ref="O47" r:id="rId108" display="https://drive.google.com/open?id=1YrOJ_TkaTSmMjVOXuAs6WgovqMTVncaS"/>
    <hyperlink ref="N48" r:id="rId109" display="https://drive.google.com/open?id=1335W84Ni2s8Vwd-iievqvnyjDIGNR991"/>
    <hyperlink ref="O48" r:id="rId110" display="https://drive.google.com/open?id=18hxmJj3zNXjmpX0TdcXB75voloNYhfto"/>
    <hyperlink ref="N49" r:id="rId111" display="https://drive.google.com/open?id=1xnpFnRl4QyNZ-lKEf8a2Yjn4sZpY4yk0"/>
    <hyperlink ref="O49" r:id="rId112" display="https://drive.google.com/open?id=1ZKyDr0yT4xrRqOUU7lBWsqxOfRm4SYdc"/>
    <hyperlink ref="N50" r:id="rId113" display="https://drive.google.com/open?id=11iSaGUiRbuZAOPwzxHIKhF0aUhspe3fj"/>
    <hyperlink ref="O50" r:id="rId114" display="https://drive.google.com/open?id=1KCMftIMMjxccIFefHDF1Wr28loAnDeTV"/>
    <hyperlink ref="N51" r:id="rId115" display="https://drive.google.com/open?id=1t2BVRcEeThZlcRGxFndtdHTI_ruuI1ET"/>
    <hyperlink ref="O51" r:id="rId116" display="https://drive.google.com/open?id=1CgIR81ZrvQHM10JczmAa0LYovcIJ0yol"/>
    <hyperlink ref="N52" r:id="rId117" display="https://drive.google.com/open?id=1sj726rtOXCTM6KNoYRYMU5q9ddP8U63e"/>
    <hyperlink ref="O52" r:id="rId118" display="https://drive.google.com/open?id=1meYFVO2Ix6c3vlInpvqN8TP2rGOPLPV4"/>
    <hyperlink ref="N53" r:id="rId119" display="https://drive.google.com/open?id=1h97ePAlp2b1Hw3gyhE0_NQ1RPEWvJlFh"/>
    <hyperlink ref="O53" r:id="rId120" display="https://drive.google.com/open?id=1eCni-nDSHh_45ueyvYcj6zbF0pjSw4o4"/>
    <hyperlink ref="N54" r:id="rId121" display="https://drive.google.com/open?id=1zDKX1UNo3XaZKul1nJPNWoQKKilymVk7"/>
    <hyperlink ref="O54" r:id="rId122" display="https://drive.google.com/open?id=1GMGFvo-n_ZuKcKYqkWJ7LAsOtW0Tq7Sx"/>
    <hyperlink ref="N55" r:id="rId123" display="https://drive.google.com/open?id=1mZpjUgOUpdudKmJnAQ5xw9AEnqHMQ2Dn"/>
    <hyperlink ref="O55" r:id="rId124" display="https://drive.google.com/open?id=16G-qQ83251CtyOh-omLU0nO54TkFTD_d"/>
    <hyperlink ref="N56" r:id="rId125" display="https://drive.google.com/open?id=17nUm-DBv35jTH44GdjLMISPCGrtLouEB"/>
    <hyperlink ref="O56" r:id="rId126" display="https://drive.google.com/open?id=1zGHoELiJraG9dfBmWFCtkVpk--9nCGuk"/>
    <hyperlink ref="N57" r:id="rId127" display="https://drive.google.com/open?id=1q55CBnGf0FMxJMqRGiu5ndoTs0gAkWSR"/>
    <hyperlink ref="O57" r:id="rId128" display="https://drive.google.com/open?id=1GXuPTx3BPJL9HFN7xcwXJl77ikxigBvb"/>
    <hyperlink ref="N58" r:id="rId129" display="https://drive.google.com/open?id=1_3LyNvGAb2Rfmza1fp8gGycdaAdTRUi5"/>
    <hyperlink ref="O58" r:id="rId130" display="https://drive.google.com/open?id=1Z8Dp5NkBTQXw-R4yHM_L-qnGcLOxeQV_"/>
    <hyperlink ref="N59" r:id="rId131" display="https://drive.google.com/open?id=1FbJm8wLmoKldU1B5bRbbYrMDQGYchAkX"/>
    <hyperlink ref="O59" r:id="rId132" display="https://drive.google.com/open?id=1b3fmGyxHYOxccPjREotbY5QSCPpaXUn7"/>
    <hyperlink ref="N27" r:id="rId133" display="https://drive.google.com/open?id=1TVGZEiz1t1yL9JkDxI7vYhVj4J270of6"/>
    <hyperlink ref="O27" r:id="rId134" display="https://drive.google.com/open?id=1l4yPVRUwq_7g5Go3Em8F0Zgq3qfgeZZX"/>
    <hyperlink ref="N28" r:id="rId135" display="https://drive.google.com/open?id=1bpd4lar-07HBob2miZYd_sxM1Jx1Lz2t"/>
    <hyperlink ref="O28" r:id="rId136" display="https://drive.google.com/open?id=1b7S2oYuIj8aF9Wv0MQB0AJTWcys0b6wM"/>
    <hyperlink ref="N31" r:id="rId137" display="https://drive.google.com/open?id=1A7HLgKBxHRkSGzpvUsbpsYFtHqYqWBZb"/>
    <hyperlink ref="O31" r:id="rId138" display="https://drive.google.com/open?id=1at-QS0GOEdsVbjU4Awzh2MeIbb5Uns6W"/>
    <hyperlink ref="N32" r:id="rId139" display="https://drive.google.com/open?id=1Vgw0PTC19YomYARtKwEpmJgfenZo53BR"/>
    <hyperlink ref="O32" r:id="rId140" display="https://drive.google.com/open?id=1emS6ZHXmO4Ikbr654-kL-t6_mV3NJtwr"/>
    <hyperlink ref="N33" r:id="rId141" display="https://drive.google.com/open?id=1-zeTNbfnPtfke2GoUtNsCQaaQ7dKzZVv"/>
    <hyperlink ref="O33" r:id="rId142" display="https://drive.google.com/open?id=1fpDGOvweqUHblrc6JuVn5jahBqQR7Rlt"/>
    <hyperlink ref="N34" r:id="rId143" display="https://drive.google.com/open?id=10chZlIzjuRLVP2G12miNYZuTpzL0TPKY"/>
    <hyperlink ref="O34" r:id="rId144" display="https://drive.google.com/open?id=16__StA0YkJOx1ha0w9VymdpLG7w9rjZp"/>
    <hyperlink ref="N35" r:id="rId145" display="https://drive.google.com/open?id=1U9ZEYAP9-3MjG5WNcPK1gjTooXTX5DFY"/>
    <hyperlink ref="O35" r:id="rId146" display="https://drive.google.com/open?id=1GtPDymkGHtCepKyWrbz8xrK_ovnIVGcf"/>
    <hyperlink ref="N36" r:id="rId147" display="https://drive.google.com/open?id=1Tq6AK4LS2bvB_XzxUhkrWCettTwJwPLc"/>
    <hyperlink ref="O36" r:id="rId148" display="https://drive.google.com/open?id=19kkJXIwaD9gJJYHXFtNB-dNYRECX6RY8"/>
    <hyperlink ref="N37" r:id="rId149" display="https://drive.google.com/open?id=1x-z966Ou5_3boZWY0HVKtcDzzrMdKkt9"/>
    <hyperlink ref="O37" r:id="rId150" display="https://drive.google.com/open?id=1Ae6SHwl27ZE3oJ7xm2sycc9uBBLtEydi"/>
    <hyperlink ref="N38" r:id="rId151" display="https://drive.google.com/open?id=1tSf2qEOf9EA0XZOfh99SiCABPKWok-84"/>
    <hyperlink ref="O38" r:id="rId152" display="https://drive.google.com/open?id=1TmYok_fcfr4fuvrI2kuptj3E4Ug-RQqU"/>
    <hyperlink ref="N39" r:id="rId153" display="https://drive.google.com/open?id=1qR-Gnz_JnYkcWyalWSJ4BfNez-Msn0Fe"/>
    <hyperlink ref="O39" r:id="rId154" display="https://drive.google.com/open?id=1uJHbUfSAz861zl72uNcONoPuArlJdWne"/>
    <hyperlink ref="N40" r:id="rId155" display="https://drive.google.com/open?id=18fNpdh5JupxSYgyPlYjMax9O5DRtbMtC"/>
    <hyperlink ref="O40" r:id="rId156" display="https://drive.google.com/open?id=1ZNGEfl-g3dots2MTrGrluhQSdcA9Bcyq"/>
    <hyperlink ref="N41" r:id="rId157" display="https://drive.google.com/open?id=1RNcQMzxRWPhc9O760Cdx3FLQQlqvU1Gg"/>
    <hyperlink ref="O41" r:id="rId158" display="https://drive.google.com/open?id=1Ofz_j42XB87e-t3e3EkJoiKw4wUkM4uI"/>
    <hyperlink ref="N23" r:id="rId159" display="https://drive.google.com/open?id=1o9ghjC9zSi1dQs0TlTiVl1x3OlrXHBYP"/>
    <hyperlink ref="O23" r:id="rId160" display="https://drive.google.com/open?id=1qVwBkBrYY-j8YN0kXhnC2-k4K7b5f8Z-"/>
    <hyperlink ref="N26" r:id="rId161" display="https://drive.google.com/open?id=1Kop0AHALQoEwrIPKPDgXUjUukrDv6tMP"/>
    <hyperlink ref="O26" r:id="rId162" display="https://drive.google.com/open?id=1gatJu27TcFYReCNsPW5pJbUrd2GB-1MI"/>
    <hyperlink ref="N30" r:id="rId163" display="https://drive.google.com/open?id=1JDcmibyHdkBxh5reBjuVrVvwGlYZE7wK"/>
    <hyperlink ref="O30" r:id="rId164" display="https://drive.google.com/open?id=1SDbgMv7HVMjthktTYo9dXCy8p4piZynq"/>
    <hyperlink ref="N29" r:id="rId165" display="https://drive.google.com/open?id=1ovub-aCDYB5QeL4toZfvbCmfkiJ7FoXt"/>
    <hyperlink ref="O29" r:id="rId166" display="https://drive.google.com/open?id=1YA-6Hb-PWcVFuA9t9Qm0KRYT2vt0i8JY"/>
    <hyperlink ref="N24" r:id="rId167" display="https://drive.google.com/open?id=1WVdB45ubi_KRn2E1TvCO9LoXzWhNL0lE"/>
    <hyperlink ref="O24" r:id="rId168" display="https://drive.google.com/open?id=1ClKjNmQ6m539u0maHszFM8hbo_OMmOtt"/>
    <hyperlink ref="N25" r:id="rId169" display="https://drive.google.com/open?id=1ESmG3x0OgprI1Z5JRStG4G1QMDLrt51l"/>
    <hyperlink ref="O25" r:id="rId170" display="https://drive.google.com/open?id=1MLZHUMjzRdOfmp-fzk4GUDGNNFHDE87a"/>
    <hyperlink ref="N17" r:id="rId171" display="https://drive.google.com/open?id=1SAFHLrzSf7NAo4BU4OdwiuHoeC3Wf3Ye"/>
    <hyperlink ref="O17" r:id="rId172" display="https://drive.google.com/open?id=1S_dxTB20zG0DUn4gfwioP94P7nypph4X"/>
    <hyperlink ref="N18" r:id="rId173" display="https://drive.google.com/open?id=1y_r46T3957fHG7GR9ZeQoQ25icmamBr6"/>
    <hyperlink ref="O18" r:id="rId174" display="https://drive.google.com/open?id=1Zxe7ShuaAKaUrZi7zIugExeminnDSyHI"/>
    <hyperlink ref="N19" r:id="rId175" display="https://drive.google.com/open?id=1FQdtpbB3gttheJZw8b6jQRQ0k1iBvRBr"/>
    <hyperlink ref="O19" r:id="rId176" display="https://drive.google.com/open?id=1DboLlxx5G-7O1LGtbdczdxqbNDWax6tQ"/>
    <hyperlink ref="N21" r:id="rId177" display="https://drive.google.com/open?id=19t3IinesTZyZ6U2kiuVOXrx__JR7U7LG"/>
    <hyperlink ref="O21" r:id="rId178" display="https://drive.google.com/open?id=1sMoDTO3RAsPHngHnNjnvbvAhwV6MH19J"/>
    <hyperlink ref="N22" r:id="rId179" display="https://drive.google.com/open?id=1R5uTXt4RdI3ODoEOSz5LqfdZUljLWIEW"/>
    <hyperlink ref="O22" r:id="rId180" display="https://drive.google.com/open?id=1bXWUxuPT4B6d5rWOOAyxcYzVt8YAJ_3o"/>
    <hyperlink ref="N20" r:id="rId181" display="https://drive.google.com/open?id=1ajZjcS8AS5n9J6dmswV8T9LZa-mOnRYo"/>
    <hyperlink ref="O20" r:id="rId182" display="https://drive.google.com/open?id=1cvQTmvDB-B94wu5vVRqyrpAzBX_6176R"/>
    <hyperlink ref="N10" r:id="rId183" display="https://drive.google.com/open?id=1kUTdDne7TbStiSP8m1E0NwSWeaxPSfPY"/>
    <hyperlink ref="O10" r:id="rId184" display="https://drive.google.com/open?id=1DWBq9AAzYsWqBhqeBszy4LvyQc2RyMek"/>
    <hyperlink ref="N11" r:id="rId185" display="https://drive.google.com/open?id=1onOQoN2rVNbMUkKsBgq1-7QwQsIaIDR7"/>
    <hyperlink ref="O11" r:id="rId186" display="https://drive.google.com/open?id=1KYwPM1K8A_-CAOjL-0_2eT1zoXVawQgs"/>
    <hyperlink ref="N12" r:id="rId187" display="https://drive.google.com/open?id=1tukKGaNA520QztmVsYROZVw7wobzv3sf"/>
    <hyperlink ref="O12" r:id="rId188" display="https://drive.google.com/open?id=1bJMCzfvVeN1mYbJGJyV-QFAHTB9RhRmK"/>
    <hyperlink ref="N13" r:id="rId189" display="https://drive.google.com/open?id=1EiVcKbh63t8PiUDR7fX8_WG3tYvgLHas"/>
    <hyperlink ref="O13" r:id="rId190" display="https://drive.google.com/open?id=1xBQhlYUwCoRkmuxdNmsRIx6QTLkFoSu4"/>
    <hyperlink ref="N14" r:id="rId191" display="https://drive.google.com/open?id=1t76KB5zw1Fq3JWwYvtqpufEfJ56m4g8B"/>
    <hyperlink ref="O14" r:id="rId192" display="https://drive.google.com/open?id=1yU3WXTKG7GEcPRExswPcOPrurDfU0ti6"/>
    <hyperlink ref="N15" r:id="rId193" display="https://drive.google.com/open?id=1JLzHNgG1gLFUYz7jsD-S_hhffRLewoqn"/>
    <hyperlink ref="O15" r:id="rId194" display="https://drive.google.com/open?id=1sjPB-ZZZPtBET1hEjysZTibQtynE8m5w"/>
    <hyperlink ref="N16" r:id="rId195" display="https://drive.google.com/open?id=1YI_Ahdsz88fpj7voR6LCZKL0_gyov0f5"/>
    <hyperlink ref="O16" r:id="rId196" display="https://drive.google.com/open?id=1EzRVlHRNgcrmGzi_DlUxDGkDCNORnemM"/>
    <hyperlink ref="N7" r:id="rId197" display="https://drive.google.com/open?id=1F1wEotaKhhY3221jpmV39TJxM-zDhy3n"/>
    <hyperlink ref="O7" r:id="rId198" display="https://drive.google.com/open?id=1ys6MC_PD3O2F2iliaPN8QREORM71noXv"/>
    <hyperlink ref="N8" r:id="rId199" display="https://drive.google.com/open?id=1FXfImPd_xzLPMuew2WVAXd4FBbfeb514"/>
    <hyperlink ref="O8" r:id="rId200" display="https://drive.google.com/open?id=12cceIdIjIBGZqm6ZtGIuTdgS6IX-h_GB"/>
    <hyperlink ref="N9" r:id="rId201" display="https://drive.google.com/open?id=1--te1UhexP9coeauASfpaafn232HR4it"/>
    <hyperlink ref="O9" r:id="rId202" display="https://drive.google.com/open?id=1pp1SpHE9ORMpnIJHDebz9xQqZN91NzX4"/>
  </hyperlinks>
  <pageMargins left="0.7" right="0.7" top="0.75" bottom="0.75" header="0.3" footer="0.3"/>
  <pageSetup paperSize="9" orientation="portrait" r:id="rId203"/>
  <drawing r:id="rId2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e lejeve të lëshuara për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Besiana Musta</cp:lastModifiedBy>
  <cp:lastPrinted>2018-11-20T10:37:17Z</cp:lastPrinted>
  <dcterms:modified xsi:type="dcterms:W3CDTF">2019-01-09T14:44:36Z</dcterms:modified>
</cp:coreProperties>
</file>