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Lista e lejeve të lëshuara për " sheetId="1" r:id="rId1"/>
  </sheets>
  <definedNames>
    <definedName name="_xlnm._FilterDatabase" localSheetId="0" hidden="1">'Lista e lejeve të lëshuara për '!$B$6:$M$169</definedName>
  </definedNames>
  <calcPr calcId="145621"/>
</workbook>
</file>

<file path=xl/calcChain.xml><?xml version="1.0" encoding="utf-8"?>
<calcChain xmlns="http://schemas.openxmlformats.org/spreadsheetml/2006/main">
  <c r="K169" i="1" l="1"/>
  <c r="K15" i="1"/>
  <c r="K16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8" i="1"/>
  <c r="K159" i="1"/>
  <c r="K160" i="1"/>
  <c r="K161" i="1"/>
  <c r="K162" i="1"/>
  <c r="K163" i="1"/>
  <c r="K164" i="1"/>
  <c r="K165" i="1"/>
  <c r="K166" i="1"/>
  <c r="K167" i="1"/>
  <c r="K14" i="1"/>
  <c r="K8" i="1"/>
  <c r="K9" i="1"/>
  <c r="K10" i="1"/>
  <c r="K11" i="1"/>
  <c r="K12" i="1"/>
  <c r="K7" i="1"/>
  <c r="J169" i="1"/>
  <c r="I169" i="1"/>
  <c r="H169" i="1"/>
  <c r="O167" i="1" l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A5" i="1"/>
</calcChain>
</file>

<file path=xl/sharedStrings.xml><?xml version="1.0" encoding="utf-8"?>
<sst xmlns="http://schemas.openxmlformats.org/spreadsheetml/2006/main" count="1017" uniqueCount="496">
  <si>
    <r>
      <rPr>
        <sz val="21"/>
        <rFont val="Arial"/>
      </rPr>
      <t xml:space="preserve">Komuna e Prishtinës </t>
    </r>
    <r>
      <rPr>
        <sz val="21"/>
        <color rgb="FF000000"/>
        <rFont val="Arial"/>
      </rPr>
      <t>- Drejtoria e Urbanizmit -</t>
    </r>
    <r>
      <rPr>
        <sz val="21"/>
        <rFont val="Arial"/>
      </rPr>
      <t xml:space="preserve"> Lejet e lëshuara 2016</t>
    </r>
  </si>
  <si>
    <t xml:space="preserve">Qytetarë të nderuar, këtu i keni të gjitha lejet e lëshuara për vitin 2016. Nëse nuk gjendet ndonjë leje në këtë tabelë, atëherë ndërtimi për të cilin ju intereson nuk ka leje ose është në proces të lejës.         </t>
  </si>
  <si>
    <t>Procesin e lëndëve mund ta gjeni duke klikuar këtu një kolonë më poshtë.</t>
  </si>
  <si>
    <t>#</t>
  </si>
  <si>
    <t>Data e aplikimit të lejes</t>
  </si>
  <si>
    <t>Data e lëshimit të lejes</t>
  </si>
  <si>
    <t>Pronari / Pronarët (Përfaqësuesi)</t>
  </si>
  <si>
    <t>Kompania / Investitori</t>
  </si>
  <si>
    <t>Projektuesi</t>
  </si>
  <si>
    <t>Lagja</t>
  </si>
  <si>
    <t>Pagesa totale e lejës së lëshuar</t>
  </si>
  <si>
    <t>Etazhiteti i objektit</t>
  </si>
  <si>
    <t>Destinimi i objektit</t>
  </si>
  <si>
    <t>Dokumenti në PDF i lejës së lëshuar</t>
  </si>
  <si>
    <t>Situacioni</t>
  </si>
  <si>
    <t>Mehedin Gashi</t>
  </si>
  <si>
    <t>N.Sh "Arkaik"</t>
  </si>
  <si>
    <t>Mramor</t>
  </si>
  <si>
    <t>Dardania</t>
  </si>
  <si>
    <t>P+1</t>
  </si>
  <si>
    <t>Objekt individual</t>
  </si>
  <si>
    <t>Sherif Berisha, Ilir Murati, Nijazi Biçkaj, Shefki Ismaili</t>
  </si>
  <si>
    <t xml:space="preserve">"Art Contruction" </t>
  </si>
  <si>
    <t>"Arkadis" sh.p.k</t>
  </si>
  <si>
    <t>Mati1</t>
  </si>
  <si>
    <t>2B+P+7, B+S+P+7</t>
  </si>
  <si>
    <t>Objekt shumëbanesor dhe afarizëm</t>
  </si>
  <si>
    <t>Objekt Afarist</t>
  </si>
  <si>
    <t>NNSh. "Shala-XH"</t>
  </si>
  <si>
    <t>"Arkadis Construction" sh.p.k</t>
  </si>
  <si>
    <t>Çagllavicë</t>
  </si>
  <si>
    <t>"Dukagjini Invest" sh.p.k</t>
  </si>
  <si>
    <t>N.P.N "Puka Desing"</t>
  </si>
  <si>
    <t>Lakërishte</t>
  </si>
  <si>
    <t>-4B+P+22</t>
  </si>
  <si>
    <t>Objekt Administrativ</t>
  </si>
  <si>
    <t>P+0</t>
  </si>
  <si>
    <t>Afet Mjeku</t>
  </si>
  <si>
    <t>Prishtina e re-Zona Perëndim</t>
  </si>
  <si>
    <t>P+2</t>
  </si>
  <si>
    <t>Nexhmedin Zhitia, Skender, Refik, Xhemile,Sadbere, Ali Buzoku, Merita, Rukije Simnica, Sylejman, Ali Kllokoqi</t>
  </si>
  <si>
    <t>"IN ON" sh.p.k</t>
  </si>
  <si>
    <t>N.SH. "Rraci ark ing"</t>
  </si>
  <si>
    <t>Muhaxhirët</t>
  </si>
  <si>
    <t>-2B+S+P+11</t>
  </si>
  <si>
    <t>Zyra e Bashkimit Evropian</t>
  </si>
  <si>
    <t>"Ferizi " sh.p.k</t>
  </si>
  <si>
    <t>Qendra 1</t>
  </si>
  <si>
    <t>Lirohet nga Pagesa</t>
  </si>
  <si>
    <t xml:space="preserve">Aneks - ndërtim </t>
  </si>
  <si>
    <t>"Chelsea Point" LLC</t>
  </si>
  <si>
    <t>N.Sh "Le arch 3D"</t>
  </si>
  <si>
    <t>Bërnicë e Epërme</t>
  </si>
  <si>
    <t>B+P+1+Nk</t>
  </si>
  <si>
    <t>Drejtoria e Arsimit e KP</t>
  </si>
  <si>
    <t>NTSH. "ADK"</t>
  </si>
  <si>
    <t>Barilevë</t>
  </si>
  <si>
    <t>Aneks-Institucion Arsimor</t>
  </si>
  <si>
    <t>Shkurte Rizani</t>
  </si>
  <si>
    <t>"Agnesa Zhubi" BI</t>
  </si>
  <si>
    <t>B+P+1</t>
  </si>
  <si>
    <t>Shefkate Kulingja, Bajhtije Ajvazi, Bejtush, Ismet, Gafurr, Elmije, Shukri, Burim, Veli, Bujar, Behar Blakqori</t>
  </si>
  <si>
    <t>"Deshishku Construction" sh.p.k</t>
  </si>
  <si>
    <t>N.SH "Blakaj Arkitekturë"</t>
  </si>
  <si>
    <t>Kalabria</t>
  </si>
  <si>
    <t>2B+S+P+7, 2B+S+P+9</t>
  </si>
  <si>
    <t>Remzi, Hivzi, Fehmi, Adem Dragidella, Kimete Mavraj, Selvete Veliu, Durak Haxhiu, Ilaz Maqedonci</t>
  </si>
  <si>
    <t>N.P.SH. "GNB Projekt" dhe N.N.P. "Standard Plus"</t>
  </si>
  <si>
    <t>N.N. "Infra Plus"</t>
  </si>
  <si>
    <t>B+S+P+7, -2B+S+P+7, -2B+S+P+7, -2B+S+P+7</t>
  </si>
  <si>
    <t>N.T.P.  "KGT"</t>
  </si>
  <si>
    <t>"Cooperation Architecture" sh.p.k</t>
  </si>
  <si>
    <t>Aktash</t>
  </si>
  <si>
    <t>B+S+P</t>
  </si>
  <si>
    <t>Objekt Individual-Afarist</t>
  </si>
  <si>
    <t xml:space="preserve">Shërbimi Spitalor dhe Klinik Universitar i Kosovës </t>
  </si>
  <si>
    <t>"Mabb Group" sh.p.k</t>
  </si>
  <si>
    <t>2B+P+4</t>
  </si>
  <si>
    <t>Objekt Spitalor</t>
  </si>
  <si>
    <t>Nexhmedin Bajrami</t>
  </si>
  <si>
    <t>"LSN Arkitekt" sh.p.k</t>
  </si>
  <si>
    <t>Çakllavicë</t>
  </si>
  <si>
    <t>L.L.C. "Makcar"</t>
  </si>
  <si>
    <t>"Aspen Architecture" sh.p.k</t>
  </si>
  <si>
    <t>Zona Ekonomike</t>
  </si>
  <si>
    <t>Afarist - I përkohshëm</t>
  </si>
  <si>
    <t>B+P</t>
  </si>
  <si>
    <t xml:space="preserve">Sali Bllaca </t>
  </si>
  <si>
    <t>N.N.P. "Universal"</t>
  </si>
  <si>
    <t>Mati 1</t>
  </si>
  <si>
    <t>B+P+4,2B+P+4</t>
  </si>
  <si>
    <t>Objekt Individual</t>
  </si>
  <si>
    <t>Qendra</t>
  </si>
  <si>
    <t xml:space="preserve">Luan Rexhaj </t>
  </si>
  <si>
    <t>"Advanced Construction" sh.p.k</t>
  </si>
  <si>
    <t>Kodra e Trimave</t>
  </si>
  <si>
    <t>Fehmi Syla</t>
  </si>
  <si>
    <t>"Menti" sh.p.k</t>
  </si>
  <si>
    <t>Objekt Afarist-I perkohshëm</t>
  </si>
  <si>
    <t xml:space="preserve">Sabit Ademi </t>
  </si>
  <si>
    <t>"Infra-Ing" sh.p.k</t>
  </si>
  <si>
    <t>Kolovicë</t>
  </si>
  <si>
    <t>Arbërie Prenaj Zeneli</t>
  </si>
  <si>
    <t>"Tulla Studio" sh.p.k</t>
  </si>
  <si>
    <t>Kodra e Diellit</t>
  </si>
  <si>
    <t>P+1+Nk</t>
  </si>
  <si>
    <t>S+P+3</t>
  </si>
  <si>
    <t>Ndërrim destinimi nga hapësirë banesore në hapësirë afariste</t>
  </si>
  <si>
    <t>Bashkim Salihu</t>
  </si>
  <si>
    <t>N.N.SH. "Via Project"</t>
  </si>
  <si>
    <t>Edvan Cakolli, Predrag Ristiq, Minire Mehmeti, Salih Mehmeti, Mustafa Rudari, Ejup Rexha, Nazmi Berisha, Bledar Gashi, Vildan Cakolli, Besim Mehmeti, Eugen Mehmeti, Arjetë Ukshini</t>
  </si>
  <si>
    <t>N.P.N. "Hoxha"</t>
  </si>
  <si>
    <t>"Arcadis" sh.p.k</t>
  </si>
  <si>
    <t>4B+S+P+11</t>
  </si>
  <si>
    <t>Ministria e Administratës Publike</t>
  </si>
  <si>
    <t>NP"Coloring"</t>
  </si>
  <si>
    <t>Prishtina e re-Zona Qendër</t>
  </si>
  <si>
    <t>Lirohet nga pagesa</t>
  </si>
  <si>
    <t>Adem Havolli, Zijadin Havolli, Veli Raçi, Idriz Havolli, Bashkim Jetullahu, Shaip Muqiqi, Destan Morina, Besart Mehmeti, Muhamed Gjata, Sabedin Gjata, Ragip Gjata</t>
  </si>
  <si>
    <t>"Nartel Exin" sh.p.k</t>
  </si>
  <si>
    <t>"Enggroup" sh.p.k</t>
  </si>
  <si>
    <t>2B+P+5</t>
  </si>
  <si>
    <t>L.L.C "Chelsea Point"</t>
  </si>
  <si>
    <t>N.T.Sh "Inter Projekt"</t>
  </si>
  <si>
    <t>Bërnice e Epërme</t>
  </si>
  <si>
    <t>Arjan Haxhibeqiri-Mirjeta Disha Haxhibeqiri</t>
  </si>
  <si>
    <t>"Lin Projekt" sh.p.k</t>
  </si>
  <si>
    <t>Jakup Shala</t>
  </si>
  <si>
    <t>"M.E. Consstructions" sh.p.k</t>
  </si>
  <si>
    <t>Objekt i përkohshëm-afarist</t>
  </si>
  <si>
    <t>Musa Hamiti</t>
  </si>
  <si>
    <t>N.P.SH. "Harp"</t>
  </si>
  <si>
    <t>Ibrahim Bejta</t>
  </si>
  <si>
    <t>NSH "Diagonal"</t>
  </si>
  <si>
    <t>Hajvali</t>
  </si>
  <si>
    <t>Avni, Naim, Isak Krasniqi</t>
  </si>
  <si>
    <t>N.P.N. "Impro"</t>
  </si>
  <si>
    <t>Llukar</t>
  </si>
  <si>
    <t>Objekt i përkohshëm</t>
  </si>
  <si>
    <t xml:space="preserve">Hilmi Rafuna </t>
  </si>
  <si>
    <t>N.P.SH "Cegis"</t>
  </si>
  <si>
    <t>P+1, P+1, P+1</t>
  </si>
  <si>
    <t>Alban Gunga</t>
  </si>
  <si>
    <t>N.Sh. "Le Arch 3D"</t>
  </si>
  <si>
    <t>"Arda Rei" sh.p.k</t>
  </si>
  <si>
    <t>N.N.P. "Pro Art"</t>
  </si>
  <si>
    <t>Zona Industriale</t>
  </si>
  <si>
    <t>Nuha, Xhevdet Rafuna</t>
  </si>
  <si>
    <t>"Eko-Projekt" sh.p.k</t>
  </si>
  <si>
    <t>Shani Makolli, Njazi Vrajolli, Sofije Janova, Isuf Gashi, Bekim Berisha</t>
  </si>
  <si>
    <t>"Vëllezërit Asllani" sh.p.k</t>
  </si>
  <si>
    <t>2B+P+9, 2B+P+9, 2B+P+8</t>
  </si>
  <si>
    <t>Behxhet Ajvazi</t>
  </si>
  <si>
    <t>Arbëria 2</t>
  </si>
  <si>
    <t>Nebih Pllana</t>
  </si>
  <si>
    <t>"Ipe-Proing" sh.p.k</t>
  </si>
  <si>
    <t>Mati 3</t>
  </si>
  <si>
    <t>Objekt afarist</t>
  </si>
  <si>
    <t>B+P+NK</t>
  </si>
  <si>
    <t>Arton Gashi</t>
  </si>
  <si>
    <t>Arben Hoti</t>
  </si>
  <si>
    <t xml:space="preserve">N.P. "Premium ENG" </t>
  </si>
  <si>
    <t>B+P+6</t>
  </si>
  <si>
    <t>Hajdar Mehmeti, Fadil Fazliu, Sokol Hoda, Kujtim Hajrullahu, Bujar Shehu, Bajram Hajdini, Shemsi Beqiri, Adile Elezi, Asip Beqiri, Fatmir Osmani, Adem Vrajolli</t>
  </si>
  <si>
    <t>"Lirimi &amp; Acl" sh.p.k</t>
  </si>
  <si>
    <t>N.Sh. "Viprodukt"</t>
  </si>
  <si>
    <t>2B+P+8, 2B+P+9, 3B+P+9</t>
  </si>
  <si>
    <t>Arben Ramadani</t>
  </si>
  <si>
    <t>"Dad-Engineering" sh.p.k</t>
  </si>
  <si>
    <t>Lagja e Muhaxherëve</t>
  </si>
  <si>
    <t>S+P+1</t>
  </si>
  <si>
    <t>Mobi-Gega, Naser Spahiu, Ilmi Gashi</t>
  </si>
  <si>
    <t>"Mobi-Gega" N.P.N</t>
  </si>
  <si>
    <t>N.P.SH. "Smart Project"</t>
  </si>
  <si>
    <t>2B+P+3</t>
  </si>
  <si>
    <t>Shaban, Hasan, Ramadan, Gani Aliu, Ilmi Krasniqi,  Fahri Krasniqi, Besim Krasniqi, Hysni Zuka, Mehdi, Gëzim Glloku</t>
  </si>
  <si>
    <t>"Arsa" sh.p.k</t>
  </si>
  <si>
    <t>N.N.T. "Art-Trade"</t>
  </si>
  <si>
    <t>-3B+P+11, 3B+S+P+10</t>
  </si>
  <si>
    <t xml:space="preserve">Sadri Lipaj, Salih Mehmeti, Nevruz Hasani, Fatime Maloku-Hasani, Safet Hyseni, Xhafer Abazi </t>
  </si>
  <si>
    <t>"B&amp;S Group" sh.p.k</t>
  </si>
  <si>
    <t>N.T.SH "ADK"</t>
  </si>
  <si>
    <t>2B+P+7, B+P+7</t>
  </si>
  <si>
    <t>Gëzim Camaj</t>
  </si>
  <si>
    <t>N.SH. "U-Architects"</t>
  </si>
  <si>
    <t>Prishtina e re- Zona perëndim</t>
  </si>
  <si>
    <t>'Prima International Ventures Limited'' L.L.C</t>
  </si>
  <si>
    <t xml:space="preserve">L.L.C ''Prima Tobacco'' </t>
  </si>
  <si>
    <t>N.P.T "Arhing</t>
  </si>
  <si>
    <t xml:space="preserve">Zona Industriale </t>
  </si>
  <si>
    <t>B+P+G+1</t>
  </si>
  <si>
    <t>Aneks - ndërtim (Afarist)</t>
  </si>
  <si>
    <t>Mehedin Llumnica, Jakup Azemi, Ismet Kostanica, Fadil Salihaj, Hyra Cubolli, Teuta Mehmetaj, ''Sima-Com''</t>
  </si>
  <si>
    <t>'Sima-Com'' sh.p.k</t>
  </si>
  <si>
    <t>B+P+5, B+S+P+4, B+S+P+4</t>
  </si>
  <si>
    <t>Rexhep Spahia, Ilhan Aliu, Fehmije Gashi-Bytyqi</t>
  </si>
  <si>
    <t>"VG Construction plus" sh.p.k</t>
  </si>
  <si>
    <t>Prishtina e re- Zona Qendër</t>
  </si>
  <si>
    <t>B+S+P+7</t>
  </si>
  <si>
    <t>Bujar Tafa</t>
  </si>
  <si>
    <t>N.P.N. "Green door"</t>
  </si>
  <si>
    <t>Vesel Pacolli</t>
  </si>
  <si>
    <t>Ilir Morina</t>
  </si>
  <si>
    <t>"H.A.F.B'' sh.p.k.</t>
  </si>
  <si>
    <t>Bujar Hasani</t>
  </si>
  <si>
    <t>"AP STUDIO" sh.p.k</t>
  </si>
  <si>
    <t>Arbëria</t>
  </si>
  <si>
    <t>B+P+1, B+P+1, B+P+1</t>
  </si>
  <si>
    <t>Avni Krasniqi</t>
  </si>
  <si>
    <t>N.SH. ''Viproduct''</t>
  </si>
  <si>
    <t>Objekt Afarist i përkohshëm</t>
  </si>
  <si>
    <t>Shaban Hasani</t>
  </si>
  <si>
    <t>N.P.N "Impro"</t>
  </si>
  <si>
    <t>Prapashticë</t>
  </si>
  <si>
    <t>Fermë e shpezëve</t>
  </si>
  <si>
    <t>Shaban Begolli, Sejare Keqi</t>
  </si>
  <si>
    <t>'Lesna'' sh.p.k</t>
  </si>
  <si>
    <t>"Lesna Ing Af" sh.p.k</t>
  </si>
  <si>
    <t>Orhan Goga</t>
  </si>
  <si>
    <t>"HB Line" sh.p.k</t>
  </si>
  <si>
    <t>Enver Ropica</t>
  </si>
  <si>
    <t>Gjinaj</t>
  </si>
  <si>
    <t>Ilmi Menxhiqi</t>
  </si>
  <si>
    <t>Bërnic e Poshtme</t>
  </si>
  <si>
    <t>Irfan (Zija) Fejzullahu</t>
  </si>
  <si>
    <t>Artan &amp; Mentor Vitija</t>
  </si>
  <si>
    <t>"Agullimi-a" sh.p.k</t>
  </si>
  <si>
    <t>N.P.N "Archipoints"</t>
  </si>
  <si>
    <t>38 x P+1</t>
  </si>
  <si>
    <t>Gani Bajrami</t>
  </si>
  <si>
    <t>' In Time '' sh.p.k</t>
  </si>
  <si>
    <t>"L' atelier" sh.p.k</t>
  </si>
  <si>
    <t>Prishtina e re - Zona Qender</t>
  </si>
  <si>
    <t>B+P+4+Nk</t>
  </si>
  <si>
    <t>Qamil Vitija</t>
  </si>
  <si>
    <t>"Cad Engineering" sh.p.k</t>
  </si>
  <si>
    <t xml:space="preserve"> Kawa Group </t>
  </si>
  <si>
    <t>' Kawa Group '' sh.p.k</t>
  </si>
  <si>
    <t>N.P.N.T ''AGA''</t>
  </si>
  <si>
    <t>2B+P+6</t>
  </si>
  <si>
    <t>Alush, Avni, Kadri Blakqori, Sinan, Haki  Pajaziti dhe Shaip Avdyli</t>
  </si>
  <si>
    <t>' Vëllezërit Asllani '' sh.p.k</t>
  </si>
  <si>
    <t>N.N.SH ''Cad Partners''</t>
  </si>
  <si>
    <t>Prishtina e re - Zona Perëndim</t>
  </si>
  <si>
    <t>-2B+P+7</t>
  </si>
  <si>
    <t>Nuhi, Isa, Abdurrahman dhe Sanije Sekiraqa</t>
  </si>
  <si>
    <t>"NARDI - ALKO - IMPEX" sh.p.k</t>
  </si>
  <si>
    <t>"P-Delta" sh.p.k</t>
  </si>
  <si>
    <t>B+S+P+4</t>
  </si>
  <si>
    <t>Neriman Bunjaku, Qeriman Reka, Nerxhivan Zeneli, Perihan Reka</t>
  </si>
  <si>
    <t>N.Sh.P. "As Projekt"</t>
  </si>
  <si>
    <t>Arbëri</t>
  </si>
  <si>
    <t>B+P+3</t>
  </si>
  <si>
    <t>"AP- Studio" sh.p.k</t>
  </si>
  <si>
    <t>Skender Syla</t>
  </si>
  <si>
    <t>N.P.N "Archipoints" sh.p.k</t>
  </si>
  <si>
    <t>S+P</t>
  </si>
  <si>
    <t>Mimoza Kryeziu</t>
  </si>
  <si>
    <t>Gazmend Abrashi</t>
  </si>
  <si>
    <t>N.P.N ''Patria''</t>
  </si>
  <si>
    <t>Taulant Ismajli</t>
  </si>
  <si>
    <t>N.N.Sh. ''L-Home''</t>
  </si>
  <si>
    <t>Dheu i Bardhë</t>
  </si>
  <si>
    <t>Tahir Maliqi</t>
  </si>
  <si>
    <t>"Kulla Arkitekturë" sh.p.k</t>
  </si>
  <si>
    <t>Prishtina e re</t>
  </si>
  <si>
    <t xml:space="preserve">"Pro Art'' </t>
  </si>
  <si>
    <t>Pejton</t>
  </si>
  <si>
    <t>Institucion Arsimor</t>
  </si>
  <si>
    <t xml:space="preserve">Burbuqe Kllokoqi </t>
  </si>
  <si>
    <t>"Building'' sh.p.k</t>
  </si>
  <si>
    <t>Jahir Pireva &amp; Habib Mehmeti</t>
  </si>
  <si>
    <t xml:space="preserve">Eroll Pushkolli &amp; N.SH. '' Vëllezërit Berisha '' </t>
  </si>
  <si>
    <t>Arbëria 3</t>
  </si>
  <si>
    <t>B+P+4</t>
  </si>
  <si>
    <t xml:space="preserve">Dukagjini Invest </t>
  </si>
  <si>
    <t>' Dukagjini Invest '' sh.p.k</t>
  </si>
  <si>
    <t>N.P.N ''Pukadesing''</t>
  </si>
  <si>
    <t>Lakrishtë</t>
  </si>
  <si>
    <t>-4B+P+16</t>
  </si>
  <si>
    <t>Sami Dërmaku</t>
  </si>
  <si>
    <t>N.P.N "Inzhinjering"</t>
  </si>
  <si>
    <t>Blerta Bejtullahu- Gurdulli</t>
  </si>
  <si>
    <t>"Diarko" sh.p.k</t>
  </si>
  <si>
    <t>Bregu i Diellit</t>
  </si>
  <si>
    <t>Ramadan Hasolli &amp; Shefqet Berisha</t>
  </si>
  <si>
    <t>'Milennium Business Center'', Hamdi Berisha, Isuf Mjeku, Isa Hamiti, Selvete Lutolli-Abazi, Selim Bajrami, Ramush Muli, Hamit Mjeku, Idriz Muli, Adile Krasniqi, Faik Mjeku, Mehdi Musa</t>
  </si>
  <si>
    <t>' Milennium Business Center '' sh.p.k</t>
  </si>
  <si>
    <t>"Green Door"</t>
  </si>
  <si>
    <t>Tophane</t>
  </si>
  <si>
    <t>3B+P+9, 3B+P+7</t>
  </si>
  <si>
    <t>Ismet Gashi &amp; Shefqet Cakolli</t>
  </si>
  <si>
    <t>"4A" sh.p.k</t>
  </si>
  <si>
    <t>"Building" sh.p.k</t>
  </si>
  <si>
    <t>B+P+9</t>
  </si>
  <si>
    <t>Bahrije, Selatin, Sefedin, Ramiz, Avni dhe Zeqir Mehmeti</t>
  </si>
  <si>
    <t>N.T.P "Butrinti"</t>
  </si>
  <si>
    <t>"AL Engineering" sh.p.k</t>
  </si>
  <si>
    <t>3B+P+8</t>
  </si>
  <si>
    <t>Nazmi Zuka</t>
  </si>
  <si>
    <t>Ismet Hysenaj</t>
  </si>
  <si>
    <t>"Proarchitecture" sh.p.k</t>
  </si>
  <si>
    <t>Prishtina e Re - Zona Perëndim</t>
  </si>
  <si>
    <t>Faik Macastena</t>
  </si>
  <si>
    <t>"Ap studio" sh.p.k</t>
  </si>
  <si>
    <t>Drejtoria e Arsimit e Komunës së Prishtinës</t>
  </si>
  <si>
    <t xml:space="preserve">N.P.SH ''Smart Projekt'' </t>
  </si>
  <si>
    <t>Institut Parashkollor (Çerdhe)</t>
  </si>
  <si>
    <t>Besart Shala</t>
  </si>
  <si>
    <t>"Ab group" sh.p.k</t>
  </si>
  <si>
    <t>Velania</t>
  </si>
  <si>
    <t>Rindërtim - Mbindërtim</t>
  </si>
  <si>
    <t>Al-Petrol</t>
  </si>
  <si>
    <t>N.P.N "Rraci Ark Ing"</t>
  </si>
  <si>
    <t>Evzi Mustafa</t>
  </si>
  <si>
    <t>N.P.SH "Hark"</t>
  </si>
  <si>
    <t xml:space="preserve">Avni Musliu </t>
  </si>
  <si>
    <t>"Aner" sh.p.k</t>
  </si>
  <si>
    <t>Avdi Vokshi</t>
  </si>
  <si>
    <t>N.SH "Cegis"</t>
  </si>
  <si>
    <t>Valon, Aziz, Ramadan Azizi</t>
  </si>
  <si>
    <t>Kalabri</t>
  </si>
  <si>
    <t>Zenun Avdullahu</t>
  </si>
  <si>
    <t>Skender Krasniqi</t>
  </si>
  <si>
    <t>N.P.N "Europrojekt Plus" &amp; "Lin Projekt" sh.p.k</t>
  </si>
  <si>
    <t>N.P.N "Europrojekt Plus"</t>
  </si>
  <si>
    <t>B+P+11</t>
  </si>
  <si>
    <t>Shukrie Berisha, Agim Mehmeti, Hajrije Hasolli, Halim Zeneli, Bekim Canaj</t>
  </si>
  <si>
    <t xml:space="preserve"> 3B Project'' sh.p.k</t>
  </si>
  <si>
    <t>"3B Project" sh.p.k</t>
  </si>
  <si>
    <t>Hjaredin Canolli</t>
  </si>
  <si>
    <t>"UD Studio" sh.p.k</t>
  </si>
  <si>
    <t xml:space="preserve">Arbëria </t>
  </si>
  <si>
    <t>Arben Shabani</t>
  </si>
  <si>
    <t>"Ferizi 2A" sh.p.k</t>
  </si>
  <si>
    <t xml:space="preserve">Fetije Aliu, Beqir, Shefki, Vesel, Zenel, Gani Dalipi, Hava Vitija </t>
  </si>
  <si>
    <t>"Nartel Exin &amp; FA " sh.p.k</t>
  </si>
  <si>
    <t>N.P.N ''Arch In''</t>
  </si>
  <si>
    <t>2B+P+7, 2B+P+7</t>
  </si>
  <si>
    <t>' Ramiz Sadiku '' sh.p.k</t>
  </si>
  <si>
    <t>"Horizons Group" sh.p.k</t>
  </si>
  <si>
    <t>Lakrishte</t>
  </si>
  <si>
    <t>2B+P+6, 2B+P+3, 2B+P+3, 2B+P+3, 2B+P+3, 2B+P+3, 2B+P+5, 2B+P+2, 2B+P+2</t>
  </si>
  <si>
    <t>Objekt afarist-administrativ</t>
  </si>
  <si>
    <t xml:space="preserve">Bekim Deshishku </t>
  </si>
  <si>
    <t>' BD Estate '' sh.p.k</t>
  </si>
  <si>
    <t>S.P ''Andrej Shmid''</t>
  </si>
  <si>
    <t>Ahmet Miftari</t>
  </si>
  <si>
    <t xml:space="preserve">N.T.Sh. ''HB &amp; Kuqi'' </t>
  </si>
  <si>
    <t xml:space="preserve">Prishtina e Re </t>
  </si>
  <si>
    <t>Remzi Gashi dhe "Dino" sh.p.k</t>
  </si>
  <si>
    <t>N.T.SH "Dino"</t>
  </si>
  <si>
    <t>2B+P+7, 2B+P+8</t>
  </si>
  <si>
    <t>Objekte shumëbanesore dhe afarizëm</t>
  </si>
  <si>
    <t>Rexhep Murina, Haki Hoda, Zejnullah Berisha, Idriz Berisha dhe Ilir Berisha</t>
  </si>
  <si>
    <t>"Krapi Com" sh.p.k</t>
  </si>
  <si>
    <t>N.N.P "Pro Art"</t>
  </si>
  <si>
    <t>2B+P+7</t>
  </si>
  <si>
    <t>Valon Zhushi</t>
  </si>
  <si>
    <t>N.N.SH "CAD partners"</t>
  </si>
  <si>
    <t>Global Consultin &amp; Development Associate</t>
  </si>
  <si>
    <t>N.T.SH "Infra - Ing"</t>
  </si>
  <si>
    <t>Ismail &amp; Hasim Drenovci</t>
  </si>
  <si>
    <t>Habib Dragusha</t>
  </si>
  <si>
    <t>"Engineering" sh.p.k</t>
  </si>
  <si>
    <t>"Albi Commerce" sh.p.k</t>
  </si>
  <si>
    <t>N.P "Puka Design"</t>
  </si>
  <si>
    <t>-2B</t>
  </si>
  <si>
    <t>Objekt Garazhues nëntokësor</t>
  </si>
  <si>
    <t>Nexhmedin Rafuna</t>
  </si>
  <si>
    <t>Fadil Makolli</t>
  </si>
  <si>
    <t>N.P "KOSOVA PROJEKT CONSTRUCTION"</t>
  </si>
  <si>
    <t>Ramadan, Nazmije Qehaja</t>
  </si>
  <si>
    <t>"Power Engineering"</t>
  </si>
  <si>
    <t>Sadik Ahmeti</t>
  </si>
  <si>
    <t>"Unikosproject L.L.C</t>
  </si>
  <si>
    <t>Qyteti i vjetër</t>
  </si>
  <si>
    <t>Agron Dida, Fehmi Kupina</t>
  </si>
  <si>
    <t>n.n.sh ''B Plan''</t>
  </si>
  <si>
    <t>Bërnica e Epërme</t>
  </si>
  <si>
    <t>P+Nk</t>
  </si>
  <si>
    <t>Ali, Mehdi, Ismajl, Ramadan dhe Sami Qyqalla</t>
  </si>
  <si>
    <t>'Arkos'' sh.p.k</t>
  </si>
  <si>
    <t>"Consult-Eng"</t>
  </si>
  <si>
    <t>P+10</t>
  </si>
  <si>
    <t xml:space="preserve">Florim Plakiqi </t>
  </si>
  <si>
    <t xml:space="preserve">Fatmir Plakiqi </t>
  </si>
  <si>
    <t>Nazim Dalipi</t>
  </si>
  <si>
    <t xml:space="preserve">Zahide Bajrami, Selami Gashi, Ilmi Hoti,Ramadan Hoti, Adil Spahiu, Ramadan Bublica, Ramadan Xhaka, Majlinda Gjelaj </t>
  </si>
  <si>
    <t>'Princesha Construction'' sh.p.k</t>
  </si>
  <si>
    <t>N.N.SH ''InfraTek''</t>
  </si>
  <si>
    <t>2B+P+9</t>
  </si>
  <si>
    <t>Agron Gashi</t>
  </si>
  <si>
    <t>n.t.sh ''HB &amp; Kuqi''</t>
  </si>
  <si>
    <t>Qazim Gashi</t>
  </si>
  <si>
    <t>"Unikosproject" L.L.C</t>
  </si>
  <si>
    <t>Zona Industriale  Prishtinë</t>
  </si>
  <si>
    <t>Rindërtim-Objekt administrativ-biznesor</t>
  </si>
  <si>
    <t>Jusuf &amp; Haki Mehmeti</t>
  </si>
  <si>
    <t>"Central'' sh.p.k</t>
  </si>
  <si>
    <t>"IB-Architects" sh.p.k</t>
  </si>
  <si>
    <t>B+P+7+Etek, B+P+7+Etek, B+P+1</t>
  </si>
  <si>
    <t>Betim Gashi</t>
  </si>
  <si>
    <t>"Pro Architecture"</t>
  </si>
  <si>
    <t>Kastriot, Ali, Petrit, Muhamed, Nuhi, Sherif, Driton Bajgora</t>
  </si>
  <si>
    <t>"F&amp;A Inxhiniering" sh.p.k</t>
  </si>
  <si>
    <t>N.N.P "Joni Tech"</t>
  </si>
  <si>
    <t>-3B+S+B+P+10+Nk</t>
  </si>
  <si>
    <t>Fatmir Tovërlani</t>
  </si>
  <si>
    <t>"Mab Projekt" Sh.p.k</t>
  </si>
  <si>
    <t>Prishtina</t>
  </si>
  <si>
    <t>B+P+8+Nk</t>
  </si>
  <si>
    <t>Pleurat Gjata</t>
  </si>
  <si>
    <t>"AL-Engineering" sh.p.k</t>
  </si>
  <si>
    <t>3B+P+7</t>
  </si>
  <si>
    <t>Fadil Maçistena</t>
  </si>
  <si>
    <t>B+P+2</t>
  </si>
  <si>
    <t>Halit Maloku</t>
  </si>
  <si>
    <t>Spitali "Aloka"</t>
  </si>
  <si>
    <t>Ilmi Canolli</t>
  </si>
  <si>
    <t>Jeton Mehmeti</t>
  </si>
  <si>
    <t>N.SH "Studio 3B"</t>
  </si>
  <si>
    <t xml:space="preserve">UP - Hasan Prishtina </t>
  </si>
  <si>
    <t>Fakulteti i Ndërtimtarisë dhe Arkitekturës</t>
  </si>
  <si>
    <t>UP - Hasan Prishtina - Fakulteti i Ndërtimtarisë dhe Arkitekturës</t>
  </si>
  <si>
    <t>Zona e Universitetit</t>
  </si>
  <si>
    <t>P+5, P+0</t>
  </si>
  <si>
    <t>Aneks - ndërtim</t>
  </si>
  <si>
    <t>Bedri Kaqiu</t>
  </si>
  <si>
    <t>N.P "Kosova Project Construction"</t>
  </si>
  <si>
    <t>Blerim Tufa</t>
  </si>
  <si>
    <t>N.N.P "Data Ing"</t>
  </si>
  <si>
    <t>Xhafer Hyseni</t>
  </si>
  <si>
    <t>"ENG GROUP" sh.p.k</t>
  </si>
  <si>
    <t>Ramize Vllasaliu, Musa Salihi, Afrim Gashi dhe Osman Pllashniku</t>
  </si>
  <si>
    <t>N.P.N "Ndërtimtari - J"</t>
  </si>
  <si>
    <t>B+S+P+8</t>
  </si>
  <si>
    <t>2B+S+P+9</t>
  </si>
  <si>
    <t>Adem Ademi, Kadrush Bullatovci, Rexhep Xheladini, Musli Bajrami, Ilaz Asllani, dhe Lulzim Bunjaku</t>
  </si>
  <si>
    <t>N.P.N "Drilon Com"</t>
  </si>
  <si>
    <t>N.P "Maden Studio Kreative"</t>
  </si>
  <si>
    <t>2B+S+P+14</t>
  </si>
  <si>
    <t>Bahtir Bahtiri</t>
  </si>
  <si>
    <t>N.SH "HIDRO-PROJECT"</t>
  </si>
  <si>
    <t>Edvan Cakolli, Predrag Ristiq, Minire Mehmeti, Sali Mehmeti, Mustafa Rudari, Ejup Rexha, Nazmi Berisha, Bledar Gashi, Vildan Cakolli, Besim Mehmeti, Eugen Mehmeti dhe Arjetë Ukshini</t>
  </si>
  <si>
    <t>N.P.N "Hoxha"</t>
  </si>
  <si>
    <t>5B+P+11</t>
  </si>
  <si>
    <t>"Dardania" sh.p.k</t>
  </si>
  <si>
    <t>N.T.N "Tregtia"</t>
  </si>
  <si>
    <t>3B+P+10, 3B+P+10</t>
  </si>
  <si>
    <t>Nazmi Smajli</t>
  </si>
  <si>
    <t>"EM-EM" sh.p.k</t>
  </si>
  <si>
    <t>Medine Smajli</t>
  </si>
  <si>
    <t>Avni Blakqori, Alush Blakqori, Kadri Blakqori, Haki Pajaziti dhe Sinan Pajaziti</t>
  </si>
  <si>
    <t>N.N "Vëllezërit Asllanaj", N.T "Zogu" dhe N.P.SH "4 Vëllezërit Braina"</t>
  </si>
  <si>
    <t>N.T.P "Pro Joni"</t>
  </si>
  <si>
    <t>Meriton Bekteshi</t>
  </si>
  <si>
    <t>"Grupi Savinja Skupina" D.O.O</t>
  </si>
  <si>
    <t>"Nixha Group"</t>
  </si>
  <si>
    <t>Ndërrim Destinimi</t>
  </si>
  <si>
    <t>N.N.SH. "SHALA-XH"</t>
  </si>
  <si>
    <t>"Arcadis Construction" sh.p.k</t>
  </si>
  <si>
    <t>Shkëlzen, Veton,Skender, Shaip, Gëzim, Enver, Arben dhe Gazmend Kadriu</t>
  </si>
  <si>
    <t>"Kawa Group" sh.p.k</t>
  </si>
  <si>
    <t>N.P.N.T "Aga"</t>
  </si>
  <si>
    <t>Shërbimi Spitalor dhe Klinik Universitar i Kosovës</t>
  </si>
  <si>
    <t>Ministria e Zhvillimit Ekonomik</t>
  </si>
  <si>
    <t>N.P.SH "Arch &amp; Design"</t>
  </si>
  <si>
    <t>Lirohen nga Pagesa</t>
  </si>
  <si>
    <t>Muharrem Hondozi, Mahir Dautaj, Remzi Dautaj, Shekib Dautaj, Afrim Dautaj &amp; Fadil Dautaj</t>
  </si>
  <si>
    <t>"Konak" sh.p.k</t>
  </si>
  <si>
    <t>Agim Ademi, Rexhep Beqiri dhe Shemsedin Kelmendi</t>
  </si>
  <si>
    <t>Fehmi Ramadani</t>
  </si>
  <si>
    <t>"Vizatim" sh.p.k</t>
  </si>
  <si>
    <t>Ruzhdi Gashi</t>
  </si>
  <si>
    <t>N.N.SH "AG Construction"</t>
  </si>
  <si>
    <t>B+P+Nk</t>
  </si>
  <si>
    <t>Faton Gashi</t>
  </si>
  <si>
    <t>Isak Avdyli, Gani Breznica, Avni Breznica, Bedri Breznica dhe Shefki Kastrati</t>
  </si>
  <si>
    <t>"EL CONSTRUCTION" sh.p.k</t>
  </si>
  <si>
    <t>"Bashkimi Projekt" sh.p.k</t>
  </si>
  <si>
    <t>Ejup Xhemalaj</t>
  </si>
  <si>
    <t>N.T.SH "HB-KUÇI"</t>
  </si>
  <si>
    <t>Kelmend Hapçiu</t>
  </si>
  <si>
    <t>N.SH "ARTEC"</t>
  </si>
  <si>
    <t>Albert Avdiu</t>
  </si>
  <si>
    <t>Shkabaj</t>
  </si>
  <si>
    <r>
      <t xml:space="preserve">Sipërfaqja totale ndërtimore në </t>
    </r>
    <r>
      <rPr>
        <b/>
        <sz val="12"/>
        <color rgb="FFFF0000"/>
        <rFont val="Arial"/>
        <family val="2"/>
      </rPr>
      <t>m²</t>
    </r>
  </si>
  <si>
    <r>
      <t xml:space="preserve">Pagesa e tarifes per rritjen e densitetit </t>
    </r>
    <r>
      <rPr>
        <b/>
        <sz val="12"/>
        <color rgb="FFFF0000"/>
        <rFont val="Arial"/>
        <family val="2"/>
      </rPr>
      <t>13.30€ për m²</t>
    </r>
  </si>
  <si>
    <r>
      <t xml:space="preserve">Pagesa e takses administrative </t>
    </r>
    <r>
      <rPr>
        <b/>
        <sz val="12"/>
        <color rgb="FFFF0000"/>
        <rFont val="Arial"/>
        <family val="2"/>
      </rPr>
      <t>6.70€ për m²</t>
    </r>
  </si>
  <si>
    <t>Total:</t>
  </si>
  <si>
    <t>Smajl Sekiraqa,Xhavit Mermullaku,Fahri Berisha,Baki Berisha,Albert Domi,Afrim Raifi dhe Kujtim Gashi</t>
  </si>
  <si>
    <t>"Uniproject sh.p.k",Arking sh.pk</t>
  </si>
  <si>
    <t>Uniproject sh.p.k</t>
  </si>
  <si>
    <t>-2B+P+11</t>
  </si>
  <si>
    <t>Leja me nr.05-351-120357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</si>
</sst>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&quot;.&quot;mm&quot;.&quot;yyyy"/>
    <numFmt numFmtId="166" formatCode="[$€]#,##0.00"/>
    <numFmt numFmtId="167" formatCode="_ * #,##0.00_)\ [$€-1]_ ;_ * \(#,##0.00\)\ [$€-1]_ ;_ * &quot;-&quot;??_)\ [$€-1]_ ;_ @_ "/>
    <numFmt numFmtId="168" formatCode="[$€-2]\ #,##0.00;[Red]\-[$€-2]\ #,##0.00"/>
  </numFmts>
  <fonts count="25" x14ac:knownFonts="1">
    <font>
      <sz val="10"/>
      <color rgb="FF000000"/>
      <name val="Arial"/>
    </font>
    <font>
      <sz val="10"/>
      <color rgb="FF000000"/>
      <name val="Arial"/>
    </font>
    <font>
      <b/>
      <sz val="22"/>
      <color rgb="FF0000FF"/>
      <name val="Arial"/>
    </font>
    <font>
      <b/>
      <sz val="20"/>
      <color rgb="FF0000FF"/>
      <name val="Arial"/>
    </font>
    <font>
      <b/>
      <sz val="12"/>
      <name val="Arial"/>
    </font>
    <font>
      <b/>
      <sz val="17"/>
      <color rgb="FFFF0000"/>
      <name val="Arial"/>
    </font>
    <font>
      <b/>
      <u/>
      <sz val="18"/>
      <color rgb="FF0000FF"/>
      <name val="Arial"/>
    </font>
    <font>
      <b/>
      <sz val="18"/>
      <name val="Arial"/>
    </font>
    <font>
      <b/>
      <sz val="11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sz val="21"/>
      <name val="Arial"/>
    </font>
    <font>
      <sz val="21"/>
      <color rgb="FF000000"/>
      <name val="Arial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AEFF"/>
        <bgColor rgb="FF51AE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166" fontId="10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65" fontId="9" fillId="2" borderId="0" xfId="0" applyNumberFormat="1" applyFont="1" applyFill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quotePrefix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166" fontId="18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4" fontId="19" fillId="0" borderId="1" xfId="0" applyNumberFormat="1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 wrapText="1"/>
    </xf>
    <xf numFmtId="167" fontId="20" fillId="0" borderId="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6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4" fontId="21" fillId="0" borderId="7" xfId="0" applyNumberFormat="1" applyFont="1" applyBorder="1" applyAlignment="1">
      <alignment horizontal="left" vertical="center"/>
    </xf>
    <xf numFmtId="167" fontId="18" fillId="0" borderId="7" xfId="0" applyNumberFormat="1" applyFont="1" applyBorder="1" applyAlignment="1">
      <alignment horizontal="left" vertical="center"/>
    </xf>
    <xf numFmtId="167" fontId="17" fillId="0" borderId="8" xfId="0" applyNumberFormat="1" applyFont="1" applyBorder="1" applyAlignment="1">
      <alignment horizontal="left" vertical="center"/>
    </xf>
    <xf numFmtId="14" fontId="23" fillId="4" borderId="9" xfId="0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168" fontId="23" fillId="0" borderId="9" xfId="0" applyNumberFormat="1" applyFont="1" applyBorder="1" applyAlignment="1">
      <alignment vertical="center" wrapText="1"/>
    </xf>
    <xf numFmtId="0" fontId="22" fillId="0" borderId="9" xfId="1" applyBorder="1" applyAlignment="1">
      <alignment vertical="center" wrapText="1"/>
    </xf>
    <xf numFmtId="167" fontId="24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752475</xdr:colOff>
      <xdr:row>0</xdr:row>
      <xdr:rowOff>0</xdr:rowOff>
    </xdr:from>
    <xdr:to>
      <xdr:col>14</xdr:col>
      <xdr:colOff>85725</xdr:colOff>
      <xdr:row>5</xdr:row>
      <xdr:rowOff>19050</xdr:rowOff>
    </xdr:to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1381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2jyJ7GZfuiG-7X1dAOk3prXKuschBf4V" TargetMode="External"/><Relationship Id="rId1" Type="http://schemas.openxmlformats.org/officeDocument/2006/relationships/hyperlink" Target="https://drive.google.com/open?id=1tNKLBo6NajBYbNb6lQUHX7OVQb2hcji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workbookViewId="0">
      <pane ySplit="6" topLeftCell="A170" activePane="bottomLeft" state="frozen"/>
      <selection pane="bottomLeft" activeCell="J11" sqref="J11"/>
    </sheetView>
  </sheetViews>
  <sheetFormatPr defaultColWidth="14.42578125" defaultRowHeight="15.75" customHeight="1" x14ac:dyDescent="0.2"/>
  <cols>
    <col min="1" max="1" width="4.42578125" bestFit="1" customWidth="1"/>
    <col min="2" max="2" width="12" customWidth="1"/>
    <col min="3" max="3" width="11.42578125" customWidth="1"/>
    <col min="4" max="4" width="25.5703125" customWidth="1"/>
    <col min="5" max="5" width="23.42578125" customWidth="1"/>
    <col min="6" max="6" width="23.140625" customWidth="1"/>
    <col min="7" max="7" width="15.140625" customWidth="1"/>
    <col min="8" max="8" width="14.85546875" customWidth="1"/>
    <col min="9" max="9" width="18.28515625" customWidth="1"/>
    <col min="10" max="10" width="19.28515625" customWidth="1"/>
    <col min="11" max="11" width="20.7109375" bestFit="1" customWidth="1"/>
    <col min="12" max="12" width="15.85546875" customWidth="1"/>
    <col min="13" max="13" width="26.42578125" customWidth="1"/>
    <col min="14" max="14" width="24.85546875" customWidth="1"/>
    <col min="15" max="15" width="12.28515625" customWidth="1"/>
  </cols>
  <sheetData>
    <row r="1" spans="1:15" ht="16.5" customHeight="1" x14ac:dyDescent="0.2">
      <c r="A1" s="57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2"/>
      <c r="O1" s="53"/>
    </row>
    <row r="2" spans="1:15" ht="18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 x14ac:dyDescent="0.2">
      <c r="A3" s="55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.75" customHeight="1" x14ac:dyDescent="0.2">
      <c r="A4" s="54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21.75" customHeight="1" x14ac:dyDescent="0.2">
      <c r="A5" s="56" t="str">
        <f>HYPERLINK("https://docs.google.com/spreadsheets/d/1O3ooJfCT3dLhuTVUxlGn8voIXwlTvKlDT0oWmZ4sihI/pubhtml?gid=702960368&amp;single=true","Procesi i Lëndes")</f>
        <v>Procesi i Lëndes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75" customHeight="1" x14ac:dyDescent="0.2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31" t="s">
        <v>487</v>
      </c>
      <c r="I6" s="31" t="s">
        <v>488</v>
      </c>
      <c r="J6" s="31" t="s">
        <v>489</v>
      </c>
      <c r="K6" s="3" t="s">
        <v>10</v>
      </c>
      <c r="L6" s="2" t="s">
        <v>11</v>
      </c>
      <c r="M6" s="2" t="s">
        <v>12</v>
      </c>
      <c r="N6" s="2" t="s">
        <v>13</v>
      </c>
      <c r="O6" s="2" t="s">
        <v>14</v>
      </c>
    </row>
    <row r="7" spans="1:15" ht="15" x14ac:dyDescent="0.2">
      <c r="A7" s="4">
        <v>1</v>
      </c>
      <c r="B7" s="5">
        <v>42548</v>
      </c>
      <c r="C7" s="5">
        <v>42732</v>
      </c>
      <c r="D7" s="7" t="s">
        <v>15</v>
      </c>
      <c r="E7" s="7" t="s">
        <v>15</v>
      </c>
      <c r="F7" s="7" t="s">
        <v>16</v>
      </c>
      <c r="G7" s="7" t="s">
        <v>17</v>
      </c>
      <c r="H7" s="33">
        <v>167.81</v>
      </c>
      <c r="I7" s="36">
        <v>446.37</v>
      </c>
      <c r="J7" s="36">
        <v>1124.33</v>
      </c>
      <c r="K7" s="38">
        <f>I7+J7</f>
        <v>1570.6999999999998</v>
      </c>
      <c r="L7" s="7" t="s">
        <v>19</v>
      </c>
      <c r="M7" s="7" t="s">
        <v>20</v>
      </c>
      <c r="N7" s="11" t="str">
        <f>HYPERLINK("https://drive.google.com/open?id=0Bxf6anvYj47HZGtobS1nWnFxZ2s","Leja me nr. 05-351-158686")</f>
        <v>Leja me nr. 05-351-158686</v>
      </c>
      <c r="O7" s="11" t="str">
        <f>HYPERLINK("https://drive.google.com/open?id=0Bxf6anvYj47HWVRHTklFNHZBTU0","Situacioni")</f>
        <v>Situacioni</v>
      </c>
    </row>
    <row r="8" spans="1:15" ht="25.5" x14ac:dyDescent="0.2">
      <c r="A8" s="4">
        <v>2</v>
      </c>
      <c r="B8" s="5">
        <v>42661</v>
      </c>
      <c r="C8" s="5">
        <v>42732</v>
      </c>
      <c r="D8" s="7" t="s">
        <v>21</v>
      </c>
      <c r="E8" s="7" t="s">
        <v>22</v>
      </c>
      <c r="F8" s="7" t="s">
        <v>23</v>
      </c>
      <c r="G8" s="7" t="s">
        <v>24</v>
      </c>
      <c r="H8" s="33">
        <v>9834.2999999999993</v>
      </c>
      <c r="I8" s="36">
        <v>110764.99</v>
      </c>
      <c r="J8" s="36">
        <v>65889.81</v>
      </c>
      <c r="K8" s="38">
        <f t="shared" ref="K8:K12" si="0">I8+J8</f>
        <v>176654.8</v>
      </c>
      <c r="L8" s="7" t="s">
        <v>25</v>
      </c>
      <c r="M8" s="7" t="s">
        <v>26</v>
      </c>
      <c r="N8" s="11" t="str">
        <f>HYPERLINK("https://drive.google.com/file/d/0Bxf6anvYj47HX3hWbFBuVU11Qjg/view?usp=sharing","Leja me nr. 05-351-259707")</f>
        <v>Leja me nr. 05-351-259707</v>
      </c>
      <c r="O8" s="11" t="str">
        <f>HYPERLINK("https://drive.google.com/file/d/0Bxf6anvYj47HWEN4b2otZ3NxTTQ/view?usp=sharing","Situacioni")</f>
        <v>Situacioni</v>
      </c>
    </row>
    <row r="9" spans="1:15" ht="25.5" x14ac:dyDescent="0.2">
      <c r="A9" s="4">
        <v>3</v>
      </c>
      <c r="B9" s="5">
        <v>42698</v>
      </c>
      <c r="C9" s="5">
        <v>42727</v>
      </c>
      <c r="D9" s="7" t="s">
        <v>28</v>
      </c>
      <c r="E9" s="7" t="s">
        <v>28</v>
      </c>
      <c r="F9" s="7" t="s">
        <v>29</v>
      </c>
      <c r="G9" s="7" t="s">
        <v>30</v>
      </c>
      <c r="H9" s="33">
        <v>193.9</v>
      </c>
      <c r="I9" s="36">
        <v>515.77</v>
      </c>
      <c r="J9" s="36">
        <v>1299.1199999999999</v>
      </c>
      <c r="K9" s="38">
        <f t="shared" si="0"/>
        <v>1814.8899999999999</v>
      </c>
      <c r="L9" s="7" t="s">
        <v>19</v>
      </c>
      <c r="M9" s="7" t="s">
        <v>20</v>
      </c>
      <c r="N9" s="11" t="str">
        <f>HYPERLINK("https://drive.google.com/file/d/0Bxf6anvYj47HLWZjSHd2alBYZ2c/view?usp=sharing","Leja me nr. 05-351-288920")</f>
        <v>Leja me nr. 05-351-288920</v>
      </c>
      <c r="O9" s="11" t="str">
        <f>HYPERLINK("https://drive.google.com/open?id=0Bxf6anvYj47HT2dXdHgxV0NreEU","Situacioni")</f>
        <v>Situacioni</v>
      </c>
    </row>
    <row r="10" spans="1:15" ht="15" x14ac:dyDescent="0.2">
      <c r="A10" s="4">
        <v>4</v>
      </c>
      <c r="B10" s="5">
        <v>42639</v>
      </c>
      <c r="C10" s="5">
        <v>42727</v>
      </c>
      <c r="D10" s="7" t="s">
        <v>31</v>
      </c>
      <c r="E10" s="7" t="s">
        <v>31</v>
      </c>
      <c r="F10" s="7" t="s">
        <v>32</v>
      </c>
      <c r="G10" s="7" t="s">
        <v>33</v>
      </c>
      <c r="H10" s="33">
        <v>12935.02</v>
      </c>
      <c r="I10" s="36">
        <v>172035.5</v>
      </c>
      <c r="J10" s="36">
        <v>86664.5</v>
      </c>
      <c r="K10" s="38">
        <f t="shared" si="0"/>
        <v>258700</v>
      </c>
      <c r="L10" s="7" t="s">
        <v>34</v>
      </c>
      <c r="M10" s="7" t="s">
        <v>35</v>
      </c>
      <c r="N10" s="14" t="str">
        <f>HYPERLINK("https://drive.google.com/open?id=0Bxf6anvYj47HTzNsZHZzb1QwbzA","Leja me nr. 05-351-241838")</f>
        <v>Leja me nr. 05-351-241838</v>
      </c>
      <c r="O10" s="11" t="str">
        <f>HYPERLINK("https://drive.google.com/file/d/0Bxf6anvYj47HUzQ5Wm1ZQV9vZU0/view?usp=sharing","Situacioni")</f>
        <v>Situacioni</v>
      </c>
    </row>
    <row r="11" spans="1:15" ht="25.5" x14ac:dyDescent="0.2">
      <c r="A11" s="4">
        <v>5</v>
      </c>
      <c r="B11" s="5">
        <v>42632</v>
      </c>
      <c r="C11" s="5">
        <v>42726</v>
      </c>
      <c r="D11" s="7" t="s">
        <v>37</v>
      </c>
      <c r="E11" s="7" t="s">
        <v>37</v>
      </c>
      <c r="F11" s="7" t="s">
        <v>29</v>
      </c>
      <c r="G11" s="7" t="s">
        <v>38</v>
      </c>
      <c r="H11" s="33">
        <v>346.55</v>
      </c>
      <c r="I11" s="36">
        <v>921.92</v>
      </c>
      <c r="J11" s="36">
        <v>2321.88</v>
      </c>
      <c r="K11" s="38">
        <f t="shared" si="0"/>
        <v>3243.8</v>
      </c>
      <c r="L11" s="7" t="s">
        <v>39</v>
      </c>
      <c r="M11" s="7" t="s">
        <v>20</v>
      </c>
      <c r="N11" s="11" t="str">
        <f>HYPERLINK("https://drive.google.com/open?id=0Bxf6anvYj47HbGNRb3pNbUVRNkE","Leja me nr. 05-351-235922")</f>
        <v>Leja me nr. 05-351-235922</v>
      </c>
      <c r="O11" s="11" t="str">
        <f>HYPERLINK("https://drive.google.com/open?id=0Bxf6anvYj47Hdm0weDA5RmZFZ0k","Situacioni")</f>
        <v>Situacioni</v>
      </c>
    </row>
    <row r="12" spans="1:15" ht="63.75" x14ac:dyDescent="0.2">
      <c r="A12" s="4">
        <v>6</v>
      </c>
      <c r="B12" s="5">
        <v>42664</v>
      </c>
      <c r="C12" s="5">
        <v>42725</v>
      </c>
      <c r="D12" s="7" t="s">
        <v>40</v>
      </c>
      <c r="E12" s="7" t="s">
        <v>41</v>
      </c>
      <c r="F12" s="7" t="s">
        <v>42</v>
      </c>
      <c r="G12" s="7" t="s">
        <v>43</v>
      </c>
      <c r="H12" s="33">
        <v>7985</v>
      </c>
      <c r="I12" s="36">
        <v>88910.5</v>
      </c>
      <c r="J12" s="36">
        <v>53499.5</v>
      </c>
      <c r="K12" s="38">
        <f t="shared" si="0"/>
        <v>142410</v>
      </c>
      <c r="L12" s="7" t="s">
        <v>44</v>
      </c>
      <c r="M12" s="7" t="s">
        <v>26</v>
      </c>
      <c r="N12" s="11" t="str">
        <f>HYPERLINK("https://drive.google.com/open?id=0Bxf6anvYj47HQnRPaFY5MXRlbE0","Leja me nr. 05-351-262342")</f>
        <v>Leja me nr. 05-351-262342</v>
      </c>
      <c r="O12" s="11" t="str">
        <f>HYPERLINK("https://drive.google.com/open?id=0Bxf6anvYj47HWEYxU0R6UTFST1k","Situacioni")</f>
        <v>Situacioni</v>
      </c>
    </row>
    <row r="13" spans="1:15" ht="15" x14ac:dyDescent="0.2">
      <c r="A13" s="4">
        <v>7</v>
      </c>
      <c r="B13" s="5">
        <v>42684</v>
      </c>
      <c r="C13" s="5">
        <v>42724</v>
      </c>
      <c r="D13" s="7" t="s">
        <v>45</v>
      </c>
      <c r="E13" s="7" t="s">
        <v>45</v>
      </c>
      <c r="F13" s="7" t="s">
        <v>46</v>
      </c>
      <c r="G13" s="7" t="s">
        <v>47</v>
      </c>
      <c r="H13" s="33">
        <v>28.08</v>
      </c>
      <c r="I13" s="36" t="s">
        <v>48</v>
      </c>
      <c r="J13" s="36" t="s">
        <v>48</v>
      </c>
      <c r="K13" s="38" t="s">
        <v>48</v>
      </c>
      <c r="L13" s="7" t="s">
        <v>36</v>
      </c>
      <c r="M13" s="7" t="s">
        <v>49</v>
      </c>
      <c r="N13" s="11" t="str">
        <f>HYPERLINK("https://drive.google.com/open?id=0Bxf6anvYj47HbVppVjNSOHhQVDg","Leja me nr. 05-351-272915")</f>
        <v>Leja me nr. 05-351-272915</v>
      </c>
      <c r="O13" s="11" t="str">
        <f>HYPERLINK("https://drive.google.com/open?id=0Bxf6anvYj47HX2JxZXNCTlBBMFU","Situacioni")</f>
        <v>Situacioni</v>
      </c>
    </row>
    <row r="14" spans="1:15" ht="25.5" x14ac:dyDescent="0.2">
      <c r="A14" s="4">
        <v>8</v>
      </c>
      <c r="B14" s="5">
        <v>42684</v>
      </c>
      <c r="C14" s="5">
        <v>42716</v>
      </c>
      <c r="D14" s="7" t="s">
        <v>28</v>
      </c>
      <c r="E14" s="7" t="s">
        <v>28</v>
      </c>
      <c r="F14" s="7" t="s">
        <v>29</v>
      </c>
      <c r="G14" s="7" t="s">
        <v>38</v>
      </c>
      <c r="H14" s="33">
        <v>176.65</v>
      </c>
      <c r="I14" s="36">
        <v>469.89</v>
      </c>
      <c r="J14" s="36">
        <v>1183.56</v>
      </c>
      <c r="K14" s="38">
        <f>I14+J14</f>
        <v>1653.4499999999998</v>
      </c>
      <c r="L14" s="7" t="s">
        <v>19</v>
      </c>
      <c r="M14" s="7" t="s">
        <v>20</v>
      </c>
      <c r="N14" s="11" t="str">
        <f>HYPERLINK("https://drive.google.com/file/d/0Bxf6anvYj47HM1NuTmpQX0RqMlE/view?usp=sharing","Leja me nr. 05-351-278417")</f>
        <v>Leja me nr. 05-351-278417</v>
      </c>
      <c r="O14" s="11" t="str">
        <f>HYPERLINK("https://drive.google.com/file/d/0Bxf6anvYj47HMlp4b1pseldOZHc/view?usp=sharing","Situacioni")</f>
        <v>Situacioni</v>
      </c>
    </row>
    <row r="15" spans="1:15" ht="25.5" x14ac:dyDescent="0.2">
      <c r="A15" s="4">
        <v>9</v>
      </c>
      <c r="B15" s="5">
        <v>42684</v>
      </c>
      <c r="C15" s="5">
        <v>42716</v>
      </c>
      <c r="D15" s="7" t="s">
        <v>28</v>
      </c>
      <c r="E15" s="7" t="s">
        <v>28</v>
      </c>
      <c r="F15" s="7" t="s">
        <v>29</v>
      </c>
      <c r="G15" s="7" t="s">
        <v>38</v>
      </c>
      <c r="H15" s="33">
        <v>179.2</v>
      </c>
      <c r="I15" s="36">
        <v>476.67</v>
      </c>
      <c r="J15" s="36">
        <v>1200.6400000000001</v>
      </c>
      <c r="K15" s="38">
        <f t="shared" ref="K15:K78" si="1">I15+J15</f>
        <v>1677.3100000000002</v>
      </c>
      <c r="L15" s="7" t="s">
        <v>19</v>
      </c>
      <c r="M15" s="7" t="s">
        <v>20</v>
      </c>
      <c r="N15" s="11" t="str">
        <f>HYPERLINK("https://drive.google.com/file/d/0Bxf6anvYj47HVUd2dFkybFR0VHc/view?usp=sharing","Leja me nr. 05-351-278444")</f>
        <v>Leja me nr. 05-351-278444</v>
      </c>
      <c r="O15" s="11" t="str">
        <f>HYPERLINK("https://drive.google.com/file/d/0Bxf6anvYj47HREJYV1JSTWREU3c/view?usp=sharing","Situacioni")</f>
        <v>Situacioni</v>
      </c>
    </row>
    <row r="16" spans="1:15" ht="25.5" x14ac:dyDescent="0.2">
      <c r="A16" s="4">
        <v>10</v>
      </c>
      <c r="B16" s="5">
        <v>42671</v>
      </c>
      <c r="C16" s="5">
        <v>42711</v>
      </c>
      <c r="D16" s="7" t="s">
        <v>50</v>
      </c>
      <c r="E16" s="7" t="s">
        <v>50</v>
      </c>
      <c r="F16" s="7" t="s">
        <v>51</v>
      </c>
      <c r="G16" s="7" t="s">
        <v>52</v>
      </c>
      <c r="H16" s="33">
        <v>727.98</v>
      </c>
      <c r="I16" s="36">
        <v>8436.18</v>
      </c>
      <c r="J16" s="36">
        <v>4877.46</v>
      </c>
      <c r="K16" s="38">
        <f t="shared" si="1"/>
        <v>13313.64</v>
      </c>
      <c r="L16" s="7" t="s">
        <v>53</v>
      </c>
      <c r="M16" s="7" t="s">
        <v>20</v>
      </c>
      <c r="N16" s="11" t="str">
        <f>HYPERLINK("https://drive.google.com/file/d/0Bxf6anvYj47HWEZadjZxLXRreTA/view?usp=sharing","Leja me nr. 05-351-268027")</f>
        <v>Leja me nr. 05-351-268027</v>
      </c>
      <c r="O16" s="11" t="str">
        <f>HYPERLINK("https://drive.google.com/open?id=0Bxf6anvYj47HZm9ZM3doZTV5aXc","Situacioni")</f>
        <v>Situacioni</v>
      </c>
    </row>
    <row r="17" spans="1:15" ht="15" x14ac:dyDescent="0.2">
      <c r="A17" s="4">
        <v>11</v>
      </c>
      <c r="B17" s="5">
        <v>42635</v>
      </c>
      <c r="C17" s="5">
        <v>42709</v>
      </c>
      <c r="D17" s="7" t="s">
        <v>54</v>
      </c>
      <c r="E17" s="7" t="s">
        <v>54</v>
      </c>
      <c r="F17" s="7" t="s">
        <v>55</v>
      </c>
      <c r="G17" s="7" t="s">
        <v>56</v>
      </c>
      <c r="H17" s="33">
        <v>657</v>
      </c>
      <c r="I17" s="36" t="s">
        <v>48</v>
      </c>
      <c r="J17" s="36" t="s">
        <v>48</v>
      </c>
      <c r="K17" s="38" t="s">
        <v>48</v>
      </c>
      <c r="L17" s="7" t="s">
        <v>36</v>
      </c>
      <c r="M17" s="7" t="s">
        <v>57</v>
      </c>
      <c r="N17" s="11" t="str">
        <f>HYPERLINK("https://drive.google.com/file/d/0Bxf6anvYj47HQlp0N2o2T0FJRm8/view?usp=sharing","Leja me nr. 05-351-238611")</f>
        <v>Leja me nr. 05-351-238611</v>
      </c>
      <c r="O17" s="11" t="str">
        <f>HYPERLINK("https://drive.google.com/file/d/0Bxf6anvYj47HLW80OWRGZERwSkk/view?usp=sharing","Situacioni")</f>
        <v>Situacioni</v>
      </c>
    </row>
    <row r="18" spans="1:15" ht="25.5" x14ac:dyDescent="0.2">
      <c r="A18" s="4">
        <v>12</v>
      </c>
      <c r="B18" s="5">
        <v>42667</v>
      </c>
      <c r="C18" s="5">
        <v>42705</v>
      </c>
      <c r="D18" s="7" t="s">
        <v>58</v>
      </c>
      <c r="E18" s="7" t="s">
        <v>58</v>
      </c>
      <c r="F18" s="7" t="s">
        <v>59</v>
      </c>
      <c r="G18" s="7" t="s">
        <v>38</v>
      </c>
      <c r="H18" s="33">
        <v>347.7</v>
      </c>
      <c r="I18" s="36">
        <v>724.58</v>
      </c>
      <c r="J18" s="36">
        <v>2329.59</v>
      </c>
      <c r="K18" s="38">
        <f t="shared" si="1"/>
        <v>3054.17</v>
      </c>
      <c r="L18" s="7" t="s">
        <v>60</v>
      </c>
      <c r="M18" s="7" t="s">
        <v>20</v>
      </c>
      <c r="N18" s="11" t="str">
        <f>HYPERLINK("https://drive.google.com/file/d/0Bxf6anvYj47HTHFIR1Y5UVZtVEk/view?usp=sharing","Leja me nr, 05-351-263945")</f>
        <v>Leja me nr, 05-351-263945</v>
      </c>
      <c r="O18" s="11" t="str">
        <f>HYPERLINK("https://drive.google.com/file/d/0Bxf6anvYj47HXzk2a1J5SWtZclU/view?usp=sharing","Situacioni")</f>
        <v>Situacioni</v>
      </c>
    </row>
    <row r="19" spans="1:15" ht="63.75" x14ac:dyDescent="0.2">
      <c r="A19" s="4">
        <v>13</v>
      </c>
      <c r="B19" s="5">
        <v>42653</v>
      </c>
      <c r="C19" s="5">
        <v>42704</v>
      </c>
      <c r="D19" s="7" t="s">
        <v>61</v>
      </c>
      <c r="E19" s="7" t="s">
        <v>62</v>
      </c>
      <c r="F19" s="7" t="s">
        <v>63</v>
      </c>
      <c r="G19" s="7" t="s">
        <v>64</v>
      </c>
      <c r="H19" s="33">
        <v>7246.72</v>
      </c>
      <c r="I19" s="36">
        <v>78759.539999999994</v>
      </c>
      <c r="J19" s="36">
        <v>48553.02</v>
      </c>
      <c r="K19" s="38">
        <f t="shared" si="1"/>
        <v>127312.56</v>
      </c>
      <c r="L19" s="7" t="s">
        <v>65</v>
      </c>
      <c r="M19" s="7" t="s">
        <v>26</v>
      </c>
      <c r="N19" s="11" t="str">
        <f>HYPERLINK("https://drive.google.com/open?id=0Bxf6anvYj47HYVBITkt2U1M2dlU","Leja me nr. 05-351-252642")</f>
        <v>Leja me nr. 05-351-252642</v>
      </c>
      <c r="O19" s="11" t="str">
        <f>HYPERLINK("https://drive.google.com/open?id=0Bxf6anvYj47HUDl1Zng3SkdwS2s","Situacioni")</f>
        <v>Situacioni</v>
      </c>
    </row>
    <row r="20" spans="1:15" ht="51" x14ac:dyDescent="0.2">
      <c r="A20" s="4">
        <v>14</v>
      </c>
      <c r="B20" s="5">
        <v>42667</v>
      </c>
      <c r="C20" s="5">
        <v>42699</v>
      </c>
      <c r="D20" s="7" t="s">
        <v>66</v>
      </c>
      <c r="E20" s="7" t="s">
        <v>67</v>
      </c>
      <c r="F20" s="7" t="s">
        <v>68</v>
      </c>
      <c r="G20" s="7" t="s">
        <v>38</v>
      </c>
      <c r="H20" s="33">
        <v>18814.48</v>
      </c>
      <c r="I20" s="36">
        <v>197337.42</v>
      </c>
      <c r="J20" s="36">
        <v>126057.02</v>
      </c>
      <c r="K20" s="38">
        <f t="shared" si="1"/>
        <v>323394.44</v>
      </c>
      <c r="L20" s="7" t="s">
        <v>69</v>
      </c>
      <c r="M20" s="7" t="s">
        <v>26</v>
      </c>
      <c r="N20" s="11" t="str">
        <f>HYPERLINK("https://drive.google.com/open?id=0Bxf6anvYj47HYmJQQlVLaUF6UlU","Leja me nr. 05-351-244881")</f>
        <v>Leja me nr. 05-351-244881</v>
      </c>
      <c r="O20" s="11" t="str">
        <f>HYPERLINK("https://drive.google.com/open?id=0Bxf6anvYj47HaWlBUDZDOGVENE0","Situacioni")</f>
        <v>Situacioni</v>
      </c>
    </row>
    <row r="21" spans="1:15" ht="25.5" x14ac:dyDescent="0.2">
      <c r="A21" s="4">
        <v>15</v>
      </c>
      <c r="B21" s="5">
        <v>42600</v>
      </c>
      <c r="C21" s="5">
        <v>42696</v>
      </c>
      <c r="D21" s="7" t="s">
        <v>70</v>
      </c>
      <c r="E21" s="7" t="s">
        <v>70</v>
      </c>
      <c r="F21" s="7" t="s">
        <v>71</v>
      </c>
      <c r="G21" s="7" t="s">
        <v>72</v>
      </c>
      <c r="H21" s="33">
        <v>816.48</v>
      </c>
      <c r="I21" s="36">
        <v>5639.45</v>
      </c>
      <c r="J21" s="36">
        <v>5470.4139999999998</v>
      </c>
      <c r="K21" s="38">
        <f t="shared" si="1"/>
        <v>11109.864</v>
      </c>
      <c r="L21" s="7" t="s">
        <v>73</v>
      </c>
      <c r="M21" s="7" t="s">
        <v>74</v>
      </c>
      <c r="N21" s="11" t="str">
        <f>HYPERLINK("https://drive.google.com/file/d/0Bxf6anvYj47HcHFFc1dzZ1k3MEk/view?usp=sharing","Leja me nr. 05-351-209769")</f>
        <v>Leja me nr. 05-351-209769</v>
      </c>
      <c r="O21" s="11" t="str">
        <f>HYPERLINK("https://drive.google.com/file/d/0Bxf6anvYj47HZWVSVUc0V1l1Q0k/view?usp=sharing","Situacioni")</f>
        <v>Situacioni</v>
      </c>
    </row>
    <row r="22" spans="1:15" ht="38.25" x14ac:dyDescent="0.2">
      <c r="A22" s="4">
        <v>16</v>
      </c>
      <c r="B22" s="5">
        <v>42639</v>
      </c>
      <c r="C22" s="5">
        <v>42696</v>
      </c>
      <c r="D22" s="7" t="s">
        <v>75</v>
      </c>
      <c r="E22" s="7" t="s">
        <v>75</v>
      </c>
      <c r="F22" s="7" t="s">
        <v>76</v>
      </c>
      <c r="G22" s="7" t="s">
        <v>38</v>
      </c>
      <c r="H22" s="33">
        <v>2897</v>
      </c>
      <c r="I22" s="36" t="s">
        <v>48</v>
      </c>
      <c r="J22" s="36" t="s">
        <v>48</v>
      </c>
      <c r="K22" s="38" t="s">
        <v>48</v>
      </c>
      <c r="L22" s="7" t="s">
        <v>77</v>
      </c>
      <c r="M22" s="7" t="s">
        <v>78</v>
      </c>
      <c r="N22" s="11" t="str">
        <f>HYPERLINK("https://drive.google.com/file/d/0Bxf6anvYj47HUFVoWVBoRW9haWs/view?usp=sharing","Leja me nr. 05-351-241506")</f>
        <v>Leja me nr. 05-351-241506</v>
      </c>
      <c r="O22" s="11" t="str">
        <f>HYPERLINK("https://drive.google.com/file/d/0Bxf6anvYj47HdzE1d3NJTHpDb0U/view?usp=sharing","Situacioni")</f>
        <v>Situacioni</v>
      </c>
    </row>
    <row r="23" spans="1:15" ht="15" x14ac:dyDescent="0.2">
      <c r="A23" s="4">
        <v>17</v>
      </c>
      <c r="B23" s="5">
        <v>42639</v>
      </c>
      <c r="C23" s="5">
        <v>42695</v>
      </c>
      <c r="D23" s="7" t="s">
        <v>79</v>
      </c>
      <c r="E23" s="7" t="s">
        <v>79</v>
      </c>
      <c r="F23" s="7" t="s">
        <v>80</v>
      </c>
      <c r="G23" s="7" t="s">
        <v>81</v>
      </c>
      <c r="H23" s="33">
        <v>283.55</v>
      </c>
      <c r="I23" s="36">
        <v>377.12</v>
      </c>
      <c r="J23" s="36">
        <v>1899.79</v>
      </c>
      <c r="K23" s="38">
        <f t="shared" si="1"/>
        <v>2276.91</v>
      </c>
      <c r="L23" s="7" t="s">
        <v>19</v>
      </c>
      <c r="M23" s="7" t="s">
        <v>20</v>
      </c>
      <c r="N23" s="11" t="str">
        <f>HYPERLINK("https://drive.google.com/file/d/0Bxf6anvYj47Hai1zZnB6ajhpSWM/view?usp=sharing","Leja me nr. 05-351-242235")</f>
        <v>Leja me nr. 05-351-242235</v>
      </c>
      <c r="O23" s="11" t="str">
        <f>HYPERLINK("https://drive.google.com/file/d/0Bxf6anvYj47HRmZYSXUxX1MxQTg/view?usp=sharing","Situacioni")</f>
        <v>Situacioni</v>
      </c>
    </row>
    <row r="24" spans="1:15" ht="21.75" customHeight="1" x14ac:dyDescent="0.2">
      <c r="A24" s="4">
        <v>18</v>
      </c>
      <c r="B24" s="5">
        <v>42653</v>
      </c>
      <c r="C24" s="5">
        <v>42691</v>
      </c>
      <c r="D24" s="7" t="s">
        <v>82</v>
      </c>
      <c r="E24" s="7" t="s">
        <v>82</v>
      </c>
      <c r="F24" s="7" t="s">
        <v>83</v>
      </c>
      <c r="G24" s="7" t="s">
        <v>84</v>
      </c>
      <c r="H24" s="33">
        <v>2012.7</v>
      </c>
      <c r="I24" s="36">
        <v>10707.56</v>
      </c>
      <c r="J24" s="36">
        <v>13485.09</v>
      </c>
      <c r="K24" s="38">
        <f t="shared" si="1"/>
        <v>24192.65</v>
      </c>
      <c r="L24" s="7" t="s">
        <v>36</v>
      </c>
      <c r="M24" s="7" t="s">
        <v>85</v>
      </c>
      <c r="N24" s="11" t="str">
        <f>HYPERLINK("https://drive.google.com/file/d/0Bxf6anvYj47HcDlnNExmNk80Nmc/view?usp=sharing","Leja me nr. 05-351-251898")</f>
        <v>Leja me nr. 05-351-251898</v>
      </c>
      <c r="O24" s="11" t="str">
        <f>HYPERLINK("https://drive.google.com/file/d/0Bxf6anvYj47HOGZMOEhQWS03aEE/view?usp=sharing","Situacioni")</f>
        <v>Situacioni</v>
      </c>
    </row>
    <row r="25" spans="1:15" ht="25.5" x14ac:dyDescent="0.2">
      <c r="A25" s="4">
        <v>19</v>
      </c>
      <c r="B25" s="5">
        <v>42594</v>
      </c>
      <c r="C25" s="5">
        <v>42689</v>
      </c>
      <c r="D25" s="7" t="s">
        <v>87</v>
      </c>
      <c r="E25" s="7" t="s">
        <v>87</v>
      </c>
      <c r="F25" s="7" t="s">
        <v>88</v>
      </c>
      <c r="G25" s="7" t="s">
        <v>89</v>
      </c>
      <c r="H25" s="33">
        <v>6534.38</v>
      </c>
      <c r="I25" s="36">
        <v>70558.23</v>
      </c>
      <c r="J25" s="36">
        <v>43780.35</v>
      </c>
      <c r="K25" s="38">
        <f t="shared" si="1"/>
        <v>114338.57999999999</v>
      </c>
      <c r="L25" s="7" t="s">
        <v>90</v>
      </c>
      <c r="M25" s="7" t="s">
        <v>26</v>
      </c>
      <c r="N25" s="11" t="str">
        <f>HYPERLINK("https://drive.google.com/file/d/0Bxf6anvYj47HTzZ0QmplVkZkd0k/view?usp=sharing","leja me nr. 05-351-205444")</f>
        <v>leja me nr. 05-351-205444</v>
      </c>
      <c r="O25" s="11" t="str">
        <f>HYPERLINK("https://drive.google.com/file/d/0Bxf6anvYj47HT1RlRnpoaV85QjQ/view?usp=sharing","Situacioni")</f>
        <v>Situacioni</v>
      </c>
    </row>
    <row r="26" spans="1:15" s="30" customFormat="1" ht="66" customHeight="1" x14ac:dyDescent="0.2">
      <c r="A26" s="4">
        <v>20</v>
      </c>
      <c r="B26" s="47">
        <v>42508</v>
      </c>
      <c r="C26" s="47">
        <v>42688</v>
      </c>
      <c r="D26" s="48" t="s">
        <v>491</v>
      </c>
      <c r="E26" s="48" t="s">
        <v>492</v>
      </c>
      <c r="F26" s="48" t="s">
        <v>493</v>
      </c>
      <c r="G26" s="48" t="s">
        <v>89</v>
      </c>
      <c r="H26" s="33">
        <v>4989.7700000000004</v>
      </c>
      <c r="I26" s="49">
        <v>66363.94</v>
      </c>
      <c r="J26" s="49">
        <v>33431.46</v>
      </c>
      <c r="K26" s="38">
        <f t="shared" si="1"/>
        <v>99795.4</v>
      </c>
      <c r="L26" s="48" t="s">
        <v>494</v>
      </c>
      <c r="M26" s="48" t="s">
        <v>26</v>
      </c>
      <c r="N26" s="50" t="s">
        <v>495</v>
      </c>
      <c r="O26" s="50" t="s">
        <v>14</v>
      </c>
    </row>
    <row r="27" spans="1:15" ht="25.5" x14ac:dyDescent="0.2">
      <c r="A27" s="4">
        <v>21</v>
      </c>
      <c r="B27" s="5">
        <v>42577</v>
      </c>
      <c r="C27" s="5">
        <v>42688</v>
      </c>
      <c r="D27" s="7" t="s">
        <v>93</v>
      </c>
      <c r="E27" s="7" t="s">
        <v>93</v>
      </c>
      <c r="F27" s="7" t="s">
        <v>94</v>
      </c>
      <c r="G27" s="7" t="s">
        <v>95</v>
      </c>
      <c r="H27" s="33">
        <v>117.87</v>
      </c>
      <c r="I27" s="36">
        <v>313.52999999999997</v>
      </c>
      <c r="J27" s="36">
        <v>789.72</v>
      </c>
      <c r="K27" s="38">
        <f t="shared" si="1"/>
        <v>1103.25</v>
      </c>
      <c r="L27" s="7" t="s">
        <v>19</v>
      </c>
      <c r="M27" s="7" t="s">
        <v>20</v>
      </c>
      <c r="N27" s="11" t="str">
        <f>HYPERLINK("https://drive.google.com/open?id=0Bxf6anvYj47HVTljOGhJM0owY3M","Leja me nr. 05-351-185804")</f>
        <v>Leja me nr. 05-351-185804</v>
      </c>
      <c r="O27" s="11" t="str">
        <f>HYPERLINK("https://drive.google.com/open?id=0Bxf6anvYj47HZFVzQ0lxYVZKenM","Situacioni")</f>
        <v>Situacioni</v>
      </c>
    </row>
    <row r="28" spans="1:15" ht="25.5" x14ac:dyDescent="0.2">
      <c r="A28" s="4">
        <v>22</v>
      </c>
      <c r="B28" s="5">
        <v>42654</v>
      </c>
      <c r="C28" s="5">
        <v>42685</v>
      </c>
      <c r="D28" s="7" t="s">
        <v>96</v>
      </c>
      <c r="E28" s="7" t="s">
        <v>96</v>
      </c>
      <c r="F28" s="7" t="s">
        <v>97</v>
      </c>
      <c r="G28" s="7" t="s">
        <v>38</v>
      </c>
      <c r="H28" s="33">
        <v>53.87</v>
      </c>
      <c r="I28" s="36">
        <v>286.58999999999997</v>
      </c>
      <c r="J28" s="36">
        <v>360.93</v>
      </c>
      <c r="K28" s="38">
        <f t="shared" si="1"/>
        <v>647.52</v>
      </c>
      <c r="L28" s="7" t="s">
        <v>36</v>
      </c>
      <c r="M28" s="7" t="s">
        <v>98</v>
      </c>
      <c r="N28" s="11" t="str">
        <f>HYPERLINK("https://drive.google.com/open?id=0Bxf6anvYj47HcjFhRUpHX25TVDQ","Leja me nr. 05-351-253560")</f>
        <v>Leja me nr. 05-351-253560</v>
      </c>
      <c r="O28" s="11" t="str">
        <f>HYPERLINK("https://drive.google.com/open?id=0Bxf6anvYj47HU0U5OWpnSkYxZkk","Situacioni")</f>
        <v>Situacioni</v>
      </c>
    </row>
    <row r="29" spans="1:15" ht="15" x14ac:dyDescent="0.2">
      <c r="A29" s="4">
        <v>23</v>
      </c>
      <c r="B29" s="5">
        <v>42593</v>
      </c>
      <c r="C29" s="5">
        <v>42682</v>
      </c>
      <c r="D29" s="7" t="s">
        <v>99</v>
      </c>
      <c r="E29" s="7" t="s">
        <v>99</v>
      </c>
      <c r="F29" s="7" t="s">
        <v>100</v>
      </c>
      <c r="G29" s="7" t="s">
        <v>101</v>
      </c>
      <c r="H29" s="33">
        <v>242.02</v>
      </c>
      <c r="I29" s="36">
        <v>643.76</v>
      </c>
      <c r="J29" s="36">
        <v>1621.53</v>
      </c>
      <c r="K29" s="38">
        <f t="shared" si="1"/>
        <v>2265.29</v>
      </c>
      <c r="L29" s="7" t="s">
        <v>19</v>
      </c>
      <c r="M29" s="7" t="s">
        <v>20</v>
      </c>
      <c r="N29" s="11" t="str">
        <f>HYPERLINK("https://drive.google.com/open?id=0Bxf6anvYj47HMVg3VnZWTjBFT0U","Leja me nr. 05-351-204264")</f>
        <v>Leja me nr. 05-351-204264</v>
      </c>
      <c r="O29" s="11" t="str">
        <f>HYPERLINK("https://drive.google.com/open?id=0Bxf6anvYj47HOVJWNENVenZ6a2M","Situacioni")</f>
        <v>Situacioni</v>
      </c>
    </row>
    <row r="30" spans="1:15" ht="38.25" x14ac:dyDescent="0.2">
      <c r="A30" s="4">
        <v>24</v>
      </c>
      <c r="B30" s="5">
        <v>42627</v>
      </c>
      <c r="C30" s="5">
        <v>42681</v>
      </c>
      <c r="D30" s="7" t="s">
        <v>102</v>
      </c>
      <c r="E30" s="7" t="s">
        <v>102</v>
      </c>
      <c r="F30" s="7" t="s">
        <v>103</v>
      </c>
      <c r="G30" s="7" t="s">
        <v>104</v>
      </c>
      <c r="H30" s="33">
        <v>76.209999999999994</v>
      </c>
      <c r="I30" s="36">
        <v>1013.59</v>
      </c>
      <c r="J30" s="36">
        <v>510.61</v>
      </c>
      <c r="K30" s="38">
        <f t="shared" si="1"/>
        <v>1524.2</v>
      </c>
      <c r="L30" s="7" t="s">
        <v>106</v>
      </c>
      <c r="M30" s="17" t="s">
        <v>107</v>
      </c>
      <c r="N30" s="11" t="str">
        <f>HYPERLINK("https://drive.google.com/file/d/0Bxf6anvYj47HdTROZ3ZUUWwzYm8/view?usp=sharing","Leja me nr. 05-351-231816")</f>
        <v>Leja me nr. 05-351-231816</v>
      </c>
      <c r="O30" s="11" t="str">
        <f>HYPERLINK("https://drive.google.com/open?id=0Bxf6anvYj47HdktSRnA3QTBiejQ","Situacioni")</f>
        <v>Situacioni</v>
      </c>
    </row>
    <row r="31" spans="1:15" ht="15" x14ac:dyDescent="0.2">
      <c r="A31" s="4">
        <v>25</v>
      </c>
      <c r="B31" s="5">
        <v>42635</v>
      </c>
      <c r="C31" s="5">
        <v>42678</v>
      </c>
      <c r="D31" s="7" t="s">
        <v>108</v>
      </c>
      <c r="E31" s="7" t="s">
        <v>108</v>
      </c>
      <c r="F31" s="7" t="s">
        <v>109</v>
      </c>
      <c r="G31" s="7" t="s">
        <v>81</v>
      </c>
      <c r="H31" s="33">
        <v>271</v>
      </c>
      <c r="I31" s="36">
        <v>720.86</v>
      </c>
      <c r="J31" s="36">
        <v>1815.7</v>
      </c>
      <c r="K31" s="38">
        <f t="shared" si="1"/>
        <v>2536.56</v>
      </c>
      <c r="L31" s="7" t="s">
        <v>19</v>
      </c>
      <c r="M31" s="7" t="s">
        <v>20</v>
      </c>
      <c r="N31" s="11" t="str">
        <f>HYPERLINK("https://drive.google.com/file/d/0Bxf6anvYj47HNklQMXhxQTBHU0U/view?usp=sharing","Leja me nr. 05-351-238852")</f>
        <v>Leja me nr. 05-351-238852</v>
      </c>
      <c r="O31" s="11" t="str">
        <f>HYPERLINK("https://drive.google.com/file/d/0Bxf6anvYj47HeHpVOFBLOUpZZmc/view?usp=sharing","Situacioni")</f>
        <v>Situacioni</v>
      </c>
    </row>
    <row r="32" spans="1:15" ht="61.5" customHeight="1" x14ac:dyDescent="0.2">
      <c r="A32" s="4">
        <v>26</v>
      </c>
      <c r="B32" s="5">
        <v>42634</v>
      </c>
      <c r="C32" s="5">
        <v>42678</v>
      </c>
      <c r="D32" s="7" t="s">
        <v>110</v>
      </c>
      <c r="E32" s="7" t="s">
        <v>111</v>
      </c>
      <c r="F32" s="7" t="s">
        <v>112</v>
      </c>
      <c r="G32" s="7" t="s">
        <v>89</v>
      </c>
      <c r="H32" s="33">
        <v>5917.1</v>
      </c>
      <c r="I32" s="36">
        <v>66107.649999999994</v>
      </c>
      <c r="J32" s="36">
        <v>39644.57</v>
      </c>
      <c r="K32" s="38">
        <f t="shared" si="1"/>
        <v>105752.22</v>
      </c>
      <c r="L32" s="7" t="s">
        <v>113</v>
      </c>
      <c r="M32" s="7" t="s">
        <v>26</v>
      </c>
      <c r="N32" s="11" t="str">
        <f>HYPERLINK("https://drive.google.com/file/d/0Bxf6anvYj47HalN6amlDRGxNRUk/view?usp=sharing","Leja me nr. 05-351-238412")</f>
        <v>Leja me nr. 05-351-238412</v>
      </c>
      <c r="O32" s="11" t="str">
        <f>HYPERLINK("https://drive.google.com/file/d/0Bxf6anvYj47HYUZPTFN4TGFjMnc/view?usp=sharing","Situacioni")</f>
        <v>Situacioni</v>
      </c>
    </row>
    <row r="33" spans="1:15" ht="25.5" x14ac:dyDescent="0.2">
      <c r="A33" s="4">
        <v>27</v>
      </c>
      <c r="B33" s="5">
        <v>42559</v>
      </c>
      <c r="C33" s="5">
        <v>42677</v>
      </c>
      <c r="D33" s="7" t="s">
        <v>114</v>
      </c>
      <c r="E33" s="7" t="s">
        <v>114</v>
      </c>
      <c r="F33" s="7" t="s">
        <v>115</v>
      </c>
      <c r="G33" s="7" t="s">
        <v>116</v>
      </c>
      <c r="H33" s="33">
        <v>3521.28</v>
      </c>
      <c r="I33" s="36" t="s">
        <v>117</v>
      </c>
      <c r="J33" s="36" t="s">
        <v>117</v>
      </c>
      <c r="K33" s="38" t="s">
        <v>117</v>
      </c>
      <c r="L33" s="7" t="s">
        <v>60</v>
      </c>
      <c r="M33" s="7" t="s">
        <v>35</v>
      </c>
      <c r="N33" s="11" t="str">
        <f>HYPERLINK("https://drive.google.com/file/d/0Bxf6anvYj47HN3hvVFBfampJNkE/view?usp=sharing","Leja me nr. 05-351-46037/1")</f>
        <v>Leja me nr. 05-351-46037/1</v>
      </c>
      <c r="O33" s="11" t="str">
        <f>HYPERLINK("https://drive.google.com/file/d/0Bxf6anvYj47HcFhINlM0ZS0zZEU/view?usp=sharing","Situacioni")</f>
        <v>Situacioni</v>
      </c>
    </row>
    <row r="34" spans="1:15" ht="89.25" x14ac:dyDescent="0.2">
      <c r="A34" s="4">
        <v>28</v>
      </c>
      <c r="B34" s="5">
        <v>42643</v>
      </c>
      <c r="C34" s="5">
        <v>42676</v>
      </c>
      <c r="D34" s="7" t="s">
        <v>118</v>
      </c>
      <c r="E34" s="7" t="s">
        <v>119</v>
      </c>
      <c r="F34" s="7" t="s">
        <v>120</v>
      </c>
      <c r="G34" s="7" t="s">
        <v>64</v>
      </c>
      <c r="H34" s="33">
        <v>3553.33</v>
      </c>
      <c r="I34" s="36">
        <v>48807.54</v>
      </c>
      <c r="J34" s="36">
        <v>33976.639999999999</v>
      </c>
      <c r="K34" s="38">
        <f t="shared" si="1"/>
        <v>82784.179999999993</v>
      </c>
      <c r="L34" s="7" t="s">
        <v>121</v>
      </c>
      <c r="M34" s="7" t="s">
        <v>26</v>
      </c>
      <c r="N34" s="11" t="str">
        <f>HYPERLINK("https://drive.google.com/file/d/0Bxf6anvYj47HT1BlWG9NYlRwd1k/view?usp=sharing","Leja me nr. 05-351-246285")</f>
        <v>Leja me nr. 05-351-246285</v>
      </c>
      <c r="O34" s="11" t="str">
        <f>HYPERLINK("https://drive.google.com/file/d/0Bxf6anvYj47HLXpQNGpDSWNjOXc/view?usp=sharing","Situacioni")</f>
        <v>Situacioni</v>
      </c>
    </row>
    <row r="35" spans="1:15" ht="25.5" x14ac:dyDescent="0.2">
      <c r="A35" s="4">
        <v>29</v>
      </c>
      <c r="B35" s="5">
        <v>42634</v>
      </c>
      <c r="C35" s="5">
        <v>42670</v>
      </c>
      <c r="D35" s="7" t="s">
        <v>122</v>
      </c>
      <c r="E35" s="7" t="s">
        <v>122</v>
      </c>
      <c r="F35" s="7" t="s">
        <v>123</v>
      </c>
      <c r="G35" s="7" t="s">
        <v>124</v>
      </c>
      <c r="H35" s="33">
        <v>206</v>
      </c>
      <c r="I35" s="36">
        <v>2460.5</v>
      </c>
      <c r="J35" s="36">
        <v>1380.2</v>
      </c>
      <c r="K35" s="38">
        <f t="shared" si="1"/>
        <v>3840.7</v>
      </c>
      <c r="L35" s="7" t="s">
        <v>60</v>
      </c>
      <c r="M35" s="7" t="s">
        <v>20</v>
      </c>
      <c r="N35" s="11" t="str">
        <f>HYPERLINK("https://drive.google.com/file/d/0Bxf6anvYj47HR0V4LXJxYXQ4enM/view?usp=sharing","Leja me nr. 05-351-238282")</f>
        <v>Leja me nr. 05-351-238282</v>
      </c>
      <c r="O35" s="11" t="str">
        <f>HYPERLINK("https://drive.google.com/file/d/0Bxf6anvYj47HR09GNTYzeVJKTE0/view?usp=sharing","Situacioni")</f>
        <v>Situacioni</v>
      </c>
    </row>
    <row r="36" spans="1:15" ht="25.5" x14ac:dyDescent="0.2">
      <c r="A36" s="4">
        <v>30</v>
      </c>
      <c r="B36" s="5">
        <v>42633</v>
      </c>
      <c r="C36" s="5">
        <v>42669</v>
      </c>
      <c r="D36" s="32" t="s">
        <v>125</v>
      </c>
      <c r="E36" s="32" t="s">
        <v>125</v>
      </c>
      <c r="F36" s="7" t="s">
        <v>126</v>
      </c>
      <c r="G36" s="7" t="s">
        <v>81</v>
      </c>
      <c r="H36" s="33">
        <v>213.9</v>
      </c>
      <c r="I36" s="36">
        <v>284.49</v>
      </c>
      <c r="J36" s="36">
        <v>1433.13</v>
      </c>
      <c r="K36" s="38">
        <f t="shared" si="1"/>
        <v>1717.6200000000001</v>
      </c>
      <c r="L36" s="7" t="s">
        <v>19</v>
      </c>
      <c r="M36" s="7" t="s">
        <v>20</v>
      </c>
      <c r="N36" s="11" t="str">
        <f>HYPERLINK("https://drive.google.com/file/d/0Bxf6anvYj47HSDhfSm0xU242d0U/view?usp=sharing","Leja me nr. 05-351-236713")</f>
        <v>Leja me nr. 05-351-236713</v>
      </c>
      <c r="O36" s="11" t="str">
        <f>HYPERLINK("https://drive.google.com/file/d/0Bxf6anvYj47HTkZHVGUyc3IyWVE/view?usp=sharing","Situacioni")</f>
        <v>Situacioni</v>
      </c>
    </row>
    <row r="37" spans="1:15" ht="25.5" x14ac:dyDescent="0.2">
      <c r="A37" s="4">
        <v>31</v>
      </c>
      <c r="B37" s="5">
        <v>42571</v>
      </c>
      <c r="C37" s="5">
        <v>42668</v>
      </c>
      <c r="D37" s="18" t="s">
        <v>127</v>
      </c>
      <c r="E37" s="18" t="s">
        <v>127</v>
      </c>
      <c r="F37" s="7" t="s">
        <v>128</v>
      </c>
      <c r="G37" s="19" t="s">
        <v>64</v>
      </c>
      <c r="H37" s="33">
        <v>1221.8800000000001</v>
      </c>
      <c r="I37" s="36">
        <v>6500.4</v>
      </c>
      <c r="J37" s="36">
        <v>8186.59</v>
      </c>
      <c r="K37" s="38">
        <f t="shared" si="1"/>
        <v>14686.99</v>
      </c>
      <c r="L37" s="7" t="s">
        <v>36</v>
      </c>
      <c r="M37" s="7" t="s">
        <v>129</v>
      </c>
      <c r="N37" s="11" t="str">
        <f>HYPERLINK("https://drive.google.com/file/d/0Bxf6anvYj47HTktBYnpuN2JGNzQ/view?usp=sharing","Leja me nr. 05-351-180338")</f>
        <v>Leja me nr. 05-351-180338</v>
      </c>
      <c r="O37" s="11" t="str">
        <f>HYPERLINK("https://drive.google.com/file/d/0Bxf6anvYj47HSXN1ZjZkN1hOeFE/view?usp=sharing","Situacioni")</f>
        <v>Situacioni</v>
      </c>
    </row>
    <row r="38" spans="1:15" ht="15" x14ac:dyDescent="0.2">
      <c r="A38" s="4">
        <v>32</v>
      </c>
      <c r="B38" s="5">
        <v>42641</v>
      </c>
      <c r="C38" s="5">
        <v>42667</v>
      </c>
      <c r="D38" s="18" t="s">
        <v>130</v>
      </c>
      <c r="E38" s="18" t="s">
        <v>130</v>
      </c>
      <c r="F38" s="7" t="s">
        <v>131</v>
      </c>
      <c r="G38" s="7" t="s">
        <v>30</v>
      </c>
      <c r="H38" s="33">
        <v>190</v>
      </c>
      <c r="I38" s="36">
        <v>252.7</v>
      </c>
      <c r="J38" s="36">
        <v>1273</v>
      </c>
      <c r="K38" s="38">
        <f t="shared" si="1"/>
        <v>1525.7</v>
      </c>
      <c r="L38" s="7" t="s">
        <v>19</v>
      </c>
      <c r="M38" s="7" t="s">
        <v>20</v>
      </c>
      <c r="N38" s="11" t="str">
        <f>HYPERLINK("https://drive.google.com/file/d/0Bxf6anvYj47HMlJ3LU9qS25ueUU/view?usp=sharing","Leja dokumenti 24.10.2016")</f>
        <v>Leja dokumenti 24.10.2016</v>
      </c>
      <c r="O38" s="11" t="str">
        <f>HYPERLINK("https://drive.google.com/file/d/0Bxf6anvYj47HX1ZrcWxMaG00cHc/view?usp=sharing","Situacioni")</f>
        <v>Situacioni</v>
      </c>
    </row>
    <row r="39" spans="1:15" ht="15" x14ac:dyDescent="0.2">
      <c r="A39" s="4">
        <v>33</v>
      </c>
      <c r="B39" s="5">
        <v>42585</v>
      </c>
      <c r="C39" s="5">
        <v>42667</v>
      </c>
      <c r="D39" s="18" t="s">
        <v>132</v>
      </c>
      <c r="E39" s="18" t="s">
        <v>132</v>
      </c>
      <c r="F39" s="7" t="s">
        <v>133</v>
      </c>
      <c r="G39" s="19" t="s">
        <v>134</v>
      </c>
      <c r="H39" s="33">
        <v>186.26</v>
      </c>
      <c r="I39" s="36">
        <v>247.73</v>
      </c>
      <c r="J39" s="36">
        <v>1247.94</v>
      </c>
      <c r="K39" s="38">
        <f t="shared" si="1"/>
        <v>1495.67</v>
      </c>
      <c r="L39" s="7" t="s">
        <v>86</v>
      </c>
      <c r="M39" s="7" t="s">
        <v>20</v>
      </c>
      <c r="N39" s="11" t="str">
        <f>HYPERLINK("https://drive.google.com/file/d/0Bxf6anvYj47HcEUyX0c0bUxaQ1U/view?usp=sharing","Leja me nr.05-351-194065")</f>
        <v>Leja me nr.05-351-194065</v>
      </c>
      <c r="O39" s="11" t="str">
        <f>HYPERLINK("https://drive.google.com/file/d/0Bxf6anvYj47HaXJBYUNaNmpOaU0/view?usp=sharing","Situacioni")</f>
        <v>Situacioni</v>
      </c>
    </row>
    <row r="40" spans="1:15" ht="15" x14ac:dyDescent="0.2">
      <c r="A40" s="4">
        <v>34</v>
      </c>
      <c r="B40" s="5">
        <v>42646</v>
      </c>
      <c r="C40" s="5">
        <v>42664</v>
      </c>
      <c r="D40" s="18" t="s">
        <v>135</v>
      </c>
      <c r="E40" s="18" t="s">
        <v>135</v>
      </c>
      <c r="F40" s="7" t="s">
        <v>136</v>
      </c>
      <c r="G40" s="7" t="s">
        <v>137</v>
      </c>
      <c r="H40" s="33">
        <v>330</v>
      </c>
      <c r="I40" s="36">
        <v>438.9</v>
      </c>
      <c r="J40" s="36">
        <v>2211</v>
      </c>
      <c r="K40" s="38">
        <f t="shared" si="1"/>
        <v>2649.9</v>
      </c>
      <c r="L40" s="7" t="s">
        <v>36</v>
      </c>
      <c r="M40" s="7" t="s">
        <v>138</v>
      </c>
      <c r="N40" s="11" t="str">
        <f>HYPERLINK("https://drive.google.com/file/d/0Bxf6anvYj47HaTJxM2ZtTDk2NnM/view?usp=sharing","Leja me nr. 05-351-246778")</f>
        <v>Leja me nr. 05-351-246778</v>
      </c>
      <c r="O40" s="11" t="str">
        <f>HYPERLINK("https://drive.google.com/file/d/0Bxf6anvYj47HN3RiUHh5OFBlRFU/view?usp=sharing","Situacioni")</f>
        <v>Situacioni</v>
      </c>
    </row>
    <row r="41" spans="1:15" ht="15" x14ac:dyDescent="0.2">
      <c r="A41" s="4">
        <v>35</v>
      </c>
      <c r="B41" s="5">
        <v>42640</v>
      </c>
      <c r="C41" s="5">
        <v>42663</v>
      </c>
      <c r="D41" s="7" t="s">
        <v>139</v>
      </c>
      <c r="E41" s="7" t="s">
        <v>139</v>
      </c>
      <c r="F41" s="7" t="s">
        <v>140</v>
      </c>
      <c r="G41" s="19" t="s">
        <v>134</v>
      </c>
      <c r="H41" s="33">
        <v>507.6</v>
      </c>
      <c r="I41" s="36">
        <v>675.09</v>
      </c>
      <c r="J41" s="36">
        <v>3400.89</v>
      </c>
      <c r="K41" s="38">
        <f t="shared" si="1"/>
        <v>4075.98</v>
      </c>
      <c r="L41" s="7" t="s">
        <v>141</v>
      </c>
      <c r="M41" s="7" t="s">
        <v>91</v>
      </c>
      <c r="N41" s="11" t="str">
        <f>HYPERLINK("https://drive.google.com/open?id=1VH0O6DrMjVUc2UkH33RaU1wYRd6Gd026","Leja me nr. 05-351-243123")</f>
        <v>Leja me nr. 05-351-243123</v>
      </c>
      <c r="O41" s="11" t="str">
        <f>HYPERLINK("https://drive.google.com/open?id=1Q_mwe3xeSUXLQR5ThfEC9ROyZE531XKP","Situacioni")</f>
        <v>Situacioni</v>
      </c>
    </row>
    <row r="42" spans="1:15" ht="25.5" x14ac:dyDescent="0.2">
      <c r="A42" s="4">
        <v>36</v>
      </c>
      <c r="B42" s="5">
        <v>42626</v>
      </c>
      <c r="C42" s="5">
        <v>42660</v>
      </c>
      <c r="D42" s="7" t="s">
        <v>142</v>
      </c>
      <c r="E42" s="7" t="s">
        <v>142</v>
      </c>
      <c r="F42" s="7" t="s">
        <v>143</v>
      </c>
      <c r="G42" s="7" t="s">
        <v>38</v>
      </c>
      <c r="H42" s="33">
        <v>186</v>
      </c>
      <c r="I42" s="36">
        <v>496.36</v>
      </c>
      <c r="J42" s="36">
        <v>1250.22</v>
      </c>
      <c r="K42" s="38">
        <f t="shared" si="1"/>
        <v>1746.58</v>
      </c>
      <c r="L42" s="7" t="s">
        <v>19</v>
      </c>
      <c r="M42" s="7" t="s">
        <v>20</v>
      </c>
      <c r="N42" s="11" t="str">
        <f>HYPERLINK("https://drive.google.com/file/d/0Bxf6anvYj47HU0J2ZnoxMS1tajg/view?usp=sharing","Leja me nr. 05-351-231064")</f>
        <v>Leja me nr. 05-351-231064</v>
      </c>
      <c r="O42" s="11" t="str">
        <f>HYPERLINK("https://drive.google.com/file/d/0Bxf6anvYj47HeWNVUG5fM19wNGs/view?usp=sharing","Situacioni")</f>
        <v>Situacioni</v>
      </c>
    </row>
    <row r="43" spans="1:15" ht="15" x14ac:dyDescent="0.2">
      <c r="A43" s="4">
        <v>37</v>
      </c>
      <c r="B43" s="5">
        <v>42612</v>
      </c>
      <c r="C43" s="5">
        <v>42656</v>
      </c>
      <c r="D43" s="7" t="s">
        <v>144</v>
      </c>
      <c r="E43" s="7" t="s">
        <v>144</v>
      </c>
      <c r="F43" s="7" t="s">
        <v>145</v>
      </c>
      <c r="G43" s="7" t="s">
        <v>146</v>
      </c>
      <c r="H43" s="33">
        <v>675.98</v>
      </c>
      <c r="I43" s="36">
        <v>3596.21</v>
      </c>
      <c r="J43" s="36">
        <v>4529.07</v>
      </c>
      <c r="K43" s="38">
        <f t="shared" si="1"/>
        <v>8125.28</v>
      </c>
      <c r="L43" s="7" t="s">
        <v>36</v>
      </c>
      <c r="M43" s="7" t="s">
        <v>129</v>
      </c>
      <c r="N43" s="11" t="str">
        <f>HYPERLINK("https://drive.google.com/file/d/0Bxf6anvYj47HWWVUMjltTDYwUW8/view?usp=sharing","Leja me nr. 05-351-220581")</f>
        <v>Leja me nr. 05-351-220581</v>
      </c>
      <c r="O43" s="11" t="str">
        <f>HYPERLINK("https://drive.google.com/file/d/0Bxf6anvYj47Hb1ZYY0VqY21FSGc/view?usp=sharing","Situacioni")</f>
        <v>Situacioni</v>
      </c>
    </row>
    <row r="44" spans="1:15" ht="15" x14ac:dyDescent="0.2">
      <c r="A44" s="4">
        <v>38</v>
      </c>
      <c r="B44" s="5">
        <v>42585</v>
      </c>
      <c r="C44" s="5">
        <v>42655</v>
      </c>
      <c r="D44" s="7" t="s">
        <v>147</v>
      </c>
      <c r="E44" s="7" t="s">
        <v>147</v>
      </c>
      <c r="F44" s="7" t="s">
        <v>148</v>
      </c>
      <c r="G44" s="7" t="s">
        <v>84</v>
      </c>
      <c r="H44" s="33">
        <v>150</v>
      </c>
      <c r="I44" s="36">
        <v>798</v>
      </c>
      <c r="J44" s="36">
        <v>1005</v>
      </c>
      <c r="K44" s="38">
        <f t="shared" si="1"/>
        <v>1803</v>
      </c>
      <c r="L44" s="7" t="s">
        <v>36</v>
      </c>
      <c r="M44" s="7" t="s">
        <v>129</v>
      </c>
      <c r="N44" s="11" t="str">
        <f>HYPERLINK("https://drive.google.com/file/d/0Bxf6anvYj47HS0ZvVDhhMXl1dkk/view?usp=sharing","Leja me nr. 05-351-194779")</f>
        <v>Leja me nr. 05-351-194779</v>
      </c>
      <c r="O44" s="11" t="str">
        <f>HYPERLINK("https://drive.google.com/file/d/0Bxf6anvYj47HQ2ZQTUdsWjlwX3c/view?usp=sharing","Situacioni")</f>
        <v>Situacioni</v>
      </c>
    </row>
    <row r="45" spans="1:15" ht="38.25" x14ac:dyDescent="0.2">
      <c r="A45" s="4">
        <v>39</v>
      </c>
      <c r="B45" s="5">
        <v>42528</v>
      </c>
      <c r="C45" s="5">
        <v>42655</v>
      </c>
      <c r="D45" s="7" t="s">
        <v>149</v>
      </c>
      <c r="E45" s="7" t="s">
        <v>150</v>
      </c>
      <c r="F45" s="7" t="s">
        <v>150</v>
      </c>
      <c r="G45" s="7" t="s">
        <v>89</v>
      </c>
      <c r="H45" s="33">
        <v>18452.830000000002</v>
      </c>
      <c r="I45" s="36">
        <v>166202.39000000001</v>
      </c>
      <c r="J45" s="36">
        <v>106237.55</v>
      </c>
      <c r="K45" s="38">
        <f t="shared" si="1"/>
        <v>272439.94</v>
      </c>
      <c r="L45" s="7" t="s">
        <v>151</v>
      </c>
      <c r="M45" s="7" t="s">
        <v>26</v>
      </c>
      <c r="N45" s="11" t="str">
        <f>HYPERLINK("https://drive.google.com/file/d/0Bxf6anvYj47HZ1k2SWkyRnZvbHc/view?usp=sharing","Leja me nr. 05-351-140092")</f>
        <v>Leja me nr. 05-351-140092</v>
      </c>
      <c r="O45" s="11" t="str">
        <f>HYPERLINK("https://drive.google.com/file/d/0Bxf6anvYj47HRUhaaVFrdy16QXc/view?usp=sharing","Situacioni")</f>
        <v>Situacioni</v>
      </c>
    </row>
    <row r="46" spans="1:15" ht="25.5" x14ac:dyDescent="0.2">
      <c r="A46" s="4">
        <v>40</v>
      </c>
      <c r="B46" s="5">
        <v>42585</v>
      </c>
      <c r="C46" s="5">
        <v>42654</v>
      </c>
      <c r="D46" s="7" t="s">
        <v>152</v>
      </c>
      <c r="E46" s="7" t="s">
        <v>152</v>
      </c>
      <c r="F46" s="7" t="s">
        <v>83</v>
      </c>
      <c r="G46" s="7" t="s">
        <v>153</v>
      </c>
      <c r="H46" s="33">
        <v>541.14</v>
      </c>
      <c r="I46" s="36">
        <v>7197.16</v>
      </c>
      <c r="J46" s="36">
        <v>3625.64</v>
      </c>
      <c r="K46" s="38">
        <f t="shared" si="1"/>
        <v>10822.8</v>
      </c>
      <c r="L46" s="7" t="s">
        <v>60</v>
      </c>
      <c r="M46" s="7" t="s">
        <v>20</v>
      </c>
      <c r="N46" s="11" t="str">
        <f>HYPERLINK("https://drive.google.com/file/d/0Bxf6anvYj47HVzVwWGdTajNUc0U/view?usp=sharing","Leja me nr. 05-351-194347")</f>
        <v>Leja me nr. 05-351-194347</v>
      </c>
      <c r="O46" s="11" t="str">
        <f>HYPERLINK("https://drive.google.com/file/d/0Bxf6anvYj47HTTlfczhhRlZHX1U/view?usp=sharing","Situacioni")</f>
        <v>Situacioni</v>
      </c>
    </row>
    <row r="47" spans="1:15" ht="15" x14ac:dyDescent="0.2">
      <c r="A47" s="4">
        <v>41</v>
      </c>
      <c r="B47" s="5">
        <v>42608</v>
      </c>
      <c r="C47" s="5">
        <v>42654</v>
      </c>
      <c r="D47" s="7" t="s">
        <v>154</v>
      </c>
      <c r="E47" s="7" t="s">
        <v>154</v>
      </c>
      <c r="F47" s="7" t="s">
        <v>155</v>
      </c>
      <c r="G47" s="7" t="s">
        <v>156</v>
      </c>
      <c r="H47" s="33">
        <v>259.60000000000002</v>
      </c>
      <c r="I47" s="36">
        <v>744.73</v>
      </c>
      <c r="J47" s="36">
        <v>1875.99</v>
      </c>
      <c r="K47" s="38">
        <f t="shared" si="1"/>
        <v>2620.7200000000003</v>
      </c>
      <c r="L47" s="7" t="s">
        <v>158</v>
      </c>
      <c r="M47" s="7" t="s">
        <v>20</v>
      </c>
      <c r="N47" s="11" t="str">
        <f>HYPERLINK("https://drive.google.com/file/d/0Bxf6anvYj47HYmlnSUo1SGdzQ00/view?usp=sharing","Leja me nr. 05-351-217108")</f>
        <v>Leja me nr. 05-351-217108</v>
      </c>
      <c r="O47" s="11" t="str">
        <f>HYPERLINK("https://drive.google.com/file/d/0Bxf6anvYj47HV1pYWThCczlNUlE/view?usp=sharing","Situacioni")</f>
        <v>Situacioni</v>
      </c>
    </row>
    <row r="48" spans="1:15" ht="15" x14ac:dyDescent="0.2">
      <c r="A48" s="4">
        <v>42</v>
      </c>
      <c r="B48" s="5">
        <v>42611</v>
      </c>
      <c r="C48" s="5">
        <v>42653</v>
      </c>
      <c r="D48" s="7" t="s">
        <v>159</v>
      </c>
      <c r="E48" s="7" t="s">
        <v>159</v>
      </c>
      <c r="F48" s="7" t="s">
        <v>145</v>
      </c>
      <c r="G48" s="7" t="s">
        <v>101</v>
      </c>
      <c r="H48" s="33">
        <v>276.87</v>
      </c>
      <c r="I48" s="36">
        <v>670.24</v>
      </c>
      <c r="J48" s="36">
        <v>1855.03</v>
      </c>
      <c r="K48" s="38">
        <f t="shared" si="1"/>
        <v>2525.27</v>
      </c>
      <c r="L48" s="7" t="s">
        <v>60</v>
      </c>
      <c r="M48" s="7" t="s">
        <v>20</v>
      </c>
      <c r="N48" s="11" t="str">
        <f>HYPERLINK("https://drive.google.com/file/d/0Bxf6anvYj47HQ21sYWoycU43dms/view?usp=sharing","Leja me nr. 05-351-219245")</f>
        <v>Leja me nr. 05-351-219245</v>
      </c>
      <c r="O48" s="11" t="str">
        <f>HYPERLINK("https://drive.google.com/file/d/0Bxf6anvYj47HUWF1bFNGZWVZSjg/view?usp=sharing","Situacioni")</f>
        <v>Situacioni</v>
      </c>
    </row>
    <row r="49" spans="1:15" ht="25.5" x14ac:dyDescent="0.2">
      <c r="A49" s="4">
        <v>43</v>
      </c>
      <c r="B49" s="5">
        <v>42577</v>
      </c>
      <c r="C49" s="5">
        <v>42653</v>
      </c>
      <c r="D49" s="7" t="s">
        <v>160</v>
      </c>
      <c r="E49" s="7" t="s">
        <v>160</v>
      </c>
      <c r="F49" s="7" t="s">
        <v>161</v>
      </c>
      <c r="G49" s="7" t="s">
        <v>89</v>
      </c>
      <c r="H49" s="33">
        <v>1431</v>
      </c>
      <c r="I49" s="36">
        <v>17024</v>
      </c>
      <c r="J49" s="36">
        <v>9587.7000000000007</v>
      </c>
      <c r="K49" s="38">
        <f t="shared" si="1"/>
        <v>26611.7</v>
      </c>
      <c r="L49" s="7" t="s">
        <v>162</v>
      </c>
      <c r="M49" s="7" t="s">
        <v>26</v>
      </c>
      <c r="N49" s="11" t="str">
        <f>HYPERLINK("https://drive.google.com/file/d/0Bxf6anvYj47HdHhGV2o4WXhqbDA/view?usp=sharing","Leja me nr. 05-351-186836")</f>
        <v>Leja me nr. 05-351-186836</v>
      </c>
      <c r="O49" s="11" t="str">
        <f>HYPERLINK("https://drive.google.com/file/d/0Bxf6anvYj47HSHNUc3dlOGlRNmc/view?usp=sharing","Situacioni")</f>
        <v>Situacioni</v>
      </c>
    </row>
    <row r="50" spans="1:15" ht="89.25" x14ac:dyDescent="0.2">
      <c r="A50" s="4">
        <v>44</v>
      </c>
      <c r="B50" s="5">
        <v>42570</v>
      </c>
      <c r="C50" s="5">
        <v>42653</v>
      </c>
      <c r="D50" s="7" t="s">
        <v>163</v>
      </c>
      <c r="E50" s="7" t="s">
        <v>164</v>
      </c>
      <c r="F50" s="7" t="s">
        <v>165</v>
      </c>
      <c r="G50" s="7" t="s">
        <v>89</v>
      </c>
      <c r="H50" s="33">
        <v>18452.830000000002</v>
      </c>
      <c r="I50" s="36">
        <v>207846.15</v>
      </c>
      <c r="J50" s="36">
        <v>123633.96</v>
      </c>
      <c r="K50" s="38">
        <f t="shared" si="1"/>
        <v>331480.11</v>
      </c>
      <c r="L50" s="7" t="s">
        <v>166</v>
      </c>
      <c r="M50" s="7" t="s">
        <v>26</v>
      </c>
      <c r="N50" s="11" t="str">
        <f>HYPERLINK("https://drive.google.com/file/d/0Bxf6anvYj47HcXVsZUpvSEtiSFU/view?usp=sharing","Leja me nr. 05-351-178747")</f>
        <v>Leja me nr. 05-351-178747</v>
      </c>
      <c r="O50" s="11" t="str">
        <f>HYPERLINK("https://drive.google.com/file/d/0Bxf6anvYj47HWElsX1FjNmpxdjg/view?usp=sharing","Situacioni")</f>
        <v>Situacioni</v>
      </c>
    </row>
    <row r="51" spans="1:15" ht="25.5" x14ac:dyDescent="0.2">
      <c r="A51" s="4">
        <v>45</v>
      </c>
      <c r="B51" s="5">
        <v>42563</v>
      </c>
      <c r="C51" s="5">
        <v>42642</v>
      </c>
      <c r="D51" s="7" t="s">
        <v>167</v>
      </c>
      <c r="E51" s="7" t="s">
        <v>167</v>
      </c>
      <c r="F51" s="7" t="s">
        <v>168</v>
      </c>
      <c r="G51" s="7" t="s">
        <v>169</v>
      </c>
      <c r="H51" s="33">
        <v>262.37</v>
      </c>
      <c r="I51" s="36">
        <v>1395.78</v>
      </c>
      <c r="J51" s="36">
        <v>1757.85</v>
      </c>
      <c r="K51" s="38">
        <f t="shared" si="1"/>
        <v>3153.63</v>
      </c>
      <c r="L51" s="7" t="s">
        <v>170</v>
      </c>
      <c r="M51" s="7" t="s">
        <v>20</v>
      </c>
      <c r="N51" s="11" t="str">
        <f>HYPERLINK("https://drive.google.com/file/d/0Bxf6anvYj47HLW9DV0FjU3hhbms/view?usp=sharing","Leja me nr. 05-351-172057")</f>
        <v>Leja me nr. 05-351-172057</v>
      </c>
      <c r="O51" s="11" t="str">
        <f>HYPERLINK("https://drive.google.com/file/d/0Bxf6anvYj47HRllPNW9BTG5aWFU/view?usp=sharing","Situacioni")</f>
        <v>Situacioni</v>
      </c>
    </row>
    <row r="52" spans="1:15" ht="25.5" x14ac:dyDescent="0.2">
      <c r="A52" s="4">
        <v>46</v>
      </c>
      <c r="B52" s="5">
        <v>42545</v>
      </c>
      <c r="C52" s="5">
        <v>42641</v>
      </c>
      <c r="D52" s="7" t="s">
        <v>171</v>
      </c>
      <c r="E52" s="20" t="s">
        <v>172</v>
      </c>
      <c r="F52" s="7" t="s">
        <v>173</v>
      </c>
      <c r="G52" s="7" t="s">
        <v>92</v>
      </c>
      <c r="H52" s="33">
        <v>960.7</v>
      </c>
      <c r="I52" s="36">
        <v>9526.17</v>
      </c>
      <c r="J52" s="36">
        <v>6436.69</v>
      </c>
      <c r="K52" s="38">
        <f t="shared" si="1"/>
        <v>15962.86</v>
      </c>
      <c r="L52" s="7" t="s">
        <v>174</v>
      </c>
      <c r="M52" s="7" t="s">
        <v>26</v>
      </c>
      <c r="N52" s="11" t="str">
        <f>HYPERLINK("https://drive.google.com/file/d/0Bxf6anvYj47Hb284UVZZNlM1M1k/view?usp=sharing","Leja me nr. 05-351-157545")</f>
        <v>Leja me nr. 05-351-157545</v>
      </c>
      <c r="O52" s="11" t="str">
        <f>HYPERLINK("https://drive.google.com/file/d/0Bxf6anvYj47HQTVWc0dRZVQ1aUU/view?usp=sharing","Situacioni")</f>
        <v>Situacioni</v>
      </c>
    </row>
    <row r="53" spans="1:15" ht="63.75" x14ac:dyDescent="0.2">
      <c r="A53" s="4">
        <v>47</v>
      </c>
      <c r="B53" s="5">
        <v>42500</v>
      </c>
      <c r="C53" s="5">
        <v>42640</v>
      </c>
      <c r="D53" s="7" t="s">
        <v>175</v>
      </c>
      <c r="E53" s="7" t="s">
        <v>176</v>
      </c>
      <c r="F53" s="7" t="s">
        <v>177</v>
      </c>
      <c r="G53" s="7" t="s">
        <v>169</v>
      </c>
      <c r="H53" s="33">
        <v>16289.2</v>
      </c>
      <c r="I53" s="36">
        <v>161169.4</v>
      </c>
      <c r="J53" s="36">
        <v>109137.64</v>
      </c>
      <c r="K53" s="38">
        <f t="shared" si="1"/>
        <v>270307.03999999998</v>
      </c>
      <c r="L53" s="7" t="s">
        <v>178</v>
      </c>
      <c r="M53" s="7" t="s">
        <v>26</v>
      </c>
      <c r="N53" s="11" t="str">
        <f>HYPERLINK("https://drive.google.com/file/d/0Bxf6anvYj47HbUlhWFRtVjBiUmc/view?usp=sharing","Leja me nr. 05-351-110998")</f>
        <v>Leja me nr. 05-351-110998</v>
      </c>
      <c r="O53" s="11" t="str">
        <f>HYPERLINK("https://drive.google.com/file/d/0Bxf6anvYj47HYWNacUo0OGMza0k/view?usp=sharing","Situacioni")</f>
        <v>Situacioni</v>
      </c>
    </row>
    <row r="54" spans="1:15" ht="51" x14ac:dyDescent="0.2">
      <c r="A54" s="4">
        <v>48</v>
      </c>
      <c r="B54" s="5">
        <v>42555</v>
      </c>
      <c r="C54" s="5">
        <v>42640</v>
      </c>
      <c r="D54" s="7" t="s">
        <v>179</v>
      </c>
      <c r="E54" s="7" t="s">
        <v>180</v>
      </c>
      <c r="F54" s="7" t="s">
        <v>181</v>
      </c>
      <c r="G54" s="7" t="s">
        <v>89</v>
      </c>
      <c r="H54" s="33">
        <v>9373.32</v>
      </c>
      <c r="I54" s="36">
        <v>101954.61</v>
      </c>
      <c r="J54" s="36">
        <v>62801.25</v>
      </c>
      <c r="K54" s="38">
        <f t="shared" si="1"/>
        <v>164755.85999999999</v>
      </c>
      <c r="L54" s="7" t="s">
        <v>182</v>
      </c>
      <c r="M54" s="7" t="s">
        <v>26</v>
      </c>
      <c r="N54" s="11" t="str">
        <f>HYPERLINK("https://drive.google.com/open?id=0Bxf6anvYj47HTXdPS3ZfbXNMY2s","Leja me nr. 05-351-165682")</f>
        <v>Leja me nr. 05-351-165682</v>
      </c>
      <c r="O54" s="11" t="str">
        <f>HYPERLINK("https://drive.google.com/open?id=0Bxf6anvYj47HRFpVeG1XQ0o3bHc","Situacioni")</f>
        <v>Situacioni</v>
      </c>
    </row>
    <row r="55" spans="1:15" ht="25.5" x14ac:dyDescent="0.2">
      <c r="A55" s="4">
        <v>49</v>
      </c>
      <c r="B55" s="5">
        <v>42538</v>
      </c>
      <c r="C55" s="5">
        <v>42635</v>
      </c>
      <c r="D55" s="7" t="s">
        <v>183</v>
      </c>
      <c r="E55" s="7" t="s">
        <v>183</v>
      </c>
      <c r="F55" s="7" t="s">
        <v>184</v>
      </c>
      <c r="G55" s="7" t="s">
        <v>185</v>
      </c>
      <c r="H55" s="33">
        <v>450.63</v>
      </c>
      <c r="I55" s="36">
        <v>5993.36</v>
      </c>
      <c r="J55" s="36">
        <v>3019.21</v>
      </c>
      <c r="K55" s="38">
        <f t="shared" si="1"/>
        <v>9012.57</v>
      </c>
      <c r="L55" s="7" t="s">
        <v>39</v>
      </c>
      <c r="M55" s="7" t="s">
        <v>20</v>
      </c>
      <c r="N55" s="14" t="str">
        <f>HYPERLINK("https://drive.google.com/file/d/0Bxf6anvYj47HRVNocDZwUlY1NUU/view?usp=sharing","Leja me nr. 05-351-151616")</f>
        <v>Leja me nr. 05-351-151616</v>
      </c>
      <c r="O55" s="11" t="str">
        <f>HYPERLINK("https://drive.google.com/file/d/0Bxf6anvYj47HUWZKQzhULWFOWFU/view?usp=sharing","Situacioni")</f>
        <v>Situacioni</v>
      </c>
    </row>
    <row r="56" spans="1:15" ht="25.5" x14ac:dyDescent="0.2">
      <c r="A56" s="4">
        <v>50</v>
      </c>
      <c r="B56" s="5">
        <v>42563</v>
      </c>
      <c r="C56" s="5">
        <v>42634</v>
      </c>
      <c r="D56" s="25" t="s">
        <v>186</v>
      </c>
      <c r="E56" s="7" t="s">
        <v>187</v>
      </c>
      <c r="F56" s="7" t="s">
        <v>188</v>
      </c>
      <c r="G56" s="7" t="s">
        <v>189</v>
      </c>
      <c r="H56" s="33">
        <v>961</v>
      </c>
      <c r="I56" s="36">
        <v>12781.3</v>
      </c>
      <c r="J56" s="36">
        <v>6438.7</v>
      </c>
      <c r="K56" s="38">
        <f t="shared" si="1"/>
        <v>19220</v>
      </c>
      <c r="L56" s="7" t="s">
        <v>190</v>
      </c>
      <c r="M56" s="7" t="s">
        <v>191</v>
      </c>
      <c r="N56" s="11" t="str">
        <f>HYPERLINK("https://drive.google.com/file/d/0Bxf6anvYj47HdkJzSS1JTlpESE0/view?usp=sharing","Leja me nr. 05-351-172790")</f>
        <v>Leja me nr. 05-351-172790</v>
      </c>
      <c r="O56" s="11" t="str">
        <f>HYPERLINK("https://drive.google.com/file/d/0Bxf6anvYj47HMk9UMENWR2pZTWs/view?usp=sharing","Situacioni")</f>
        <v>Situacioni</v>
      </c>
    </row>
    <row r="57" spans="1:15" ht="63.75" x14ac:dyDescent="0.2">
      <c r="A57" s="4">
        <v>51</v>
      </c>
      <c r="B57" s="5">
        <v>42559</v>
      </c>
      <c r="C57" s="5">
        <v>42633</v>
      </c>
      <c r="D57" s="7" t="s">
        <v>192</v>
      </c>
      <c r="E57" s="25" t="s">
        <v>193</v>
      </c>
      <c r="F57" s="7" t="s">
        <v>112</v>
      </c>
      <c r="G57" s="7" t="s">
        <v>89</v>
      </c>
      <c r="H57" s="33">
        <v>6453.72</v>
      </c>
      <c r="I57" s="36">
        <v>72793.53</v>
      </c>
      <c r="J57" s="36">
        <v>43239.95</v>
      </c>
      <c r="K57" s="38">
        <f t="shared" si="1"/>
        <v>116033.48</v>
      </c>
      <c r="L57" s="7" t="s">
        <v>194</v>
      </c>
      <c r="M57" s="7" t="s">
        <v>26</v>
      </c>
      <c r="N57" s="11" t="str">
        <f>HYPERLINK("https://drive.google.com/file/d/0Bxf6anvYj47HSmxjYWR2RTZ3NnM/view?usp=sharing","Leja me nr. 05-351-169398")</f>
        <v>Leja me nr. 05-351-169398</v>
      </c>
      <c r="O57" s="11" t="str">
        <f>HYPERLINK("https://drive.google.com/file/d/0Bxf6anvYj47HdTljN2hpZTlYTWs/view?usp=sharing","Situacioni")</f>
        <v>Situacioni</v>
      </c>
    </row>
    <row r="58" spans="1:15" ht="25.5" x14ac:dyDescent="0.2">
      <c r="A58" s="4">
        <v>52</v>
      </c>
      <c r="B58" s="5">
        <v>42368</v>
      </c>
      <c r="C58" s="5">
        <v>42632</v>
      </c>
      <c r="D58" s="7" t="s">
        <v>195</v>
      </c>
      <c r="E58" s="7" t="s">
        <v>196</v>
      </c>
      <c r="F58" s="7" t="s">
        <v>112</v>
      </c>
      <c r="G58" s="7" t="s">
        <v>197</v>
      </c>
      <c r="H58" s="33">
        <v>11666.98</v>
      </c>
      <c r="I58" s="36">
        <v>719.45</v>
      </c>
      <c r="J58" s="36">
        <v>1812.15</v>
      </c>
      <c r="K58" s="38">
        <f t="shared" si="1"/>
        <v>2531.6000000000004</v>
      </c>
      <c r="L58" s="7" t="s">
        <v>198</v>
      </c>
      <c r="M58" s="7" t="s">
        <v>26</v>
      </c>
      <c r="N58" s="11" t="str">
        <f>HYPERLINK("https://drive.google.com/file/d/0Bxf6anvYj47HVGtzQWZBM0Jla2M/view?usp=sharing","Leja me nr. 05-351-292367")</f>
        <v>Leja me nr. 05-351-292367</v>
      </c>
      <c r="O58" s="11" t="str">
        <f>HYPERLINK("https://drive.google.com/file/d/0Bxf6anvYj47HWXhqVGZyM1p2Nzg/view?usp=sharing","Situacioni")</f>
        <v>Situacioni</v>
      </c>
    </row>
    <row r="59" spans="1:15" ht="15" x14ac:dyDescent="0.2">
      <c r="A59" s="4">
        <v>53</v>
      </c>
      <c r="B59" s="5">
        <v>42597</v>
      </c>
      <c r="C59" s="5">
        <v>42629</v>
      </c>
      <c r="D59" s="7" t="s">
        <v>199</v>
      </c>
      <c r="E59" s="7" t="s">
        <v>199</v>
      </c>
      <c r="F59" s="7" t="s">
        <v>200</v>
      </c>
      <c r="G59" s="7" t="s">
        <v>72</v>
      </c>
      <c r="H59" s="33">
        <v>505.7</v>
      </c>
      <c r="I59" s="36">
        <v>6725.81</v>
      </c>
      <c r="J59" s="36">
        <v>3388.19</v>
      </c>
      <c r="K59" s="38">
        <f t="shared" si="1"/>
        <v>10114</v>
      </c>
      <c r="L59" s="7" t="s">
        <v>60</v>
      </c>
      <c r="M59" s="7" t="s">
        <v>20</v>
      </c>
      <c r="N59" s="11" t="str">
        <f>HYPERLINK("https://drive.google.com/file/d/0Bxf6anvYj47Hck9RSGZISGd6a3c/view?usp=sharing","Leja me nr. 05-351-206902")</f>
        <v>Leja me nr. 05-351-206902</v>
      </c>
      <c r="O59" s="11" t="str">
        <f>HYPERLINK("https://drive.google.com/file/d/0Bxf6anvYj47HMFl2TkVTRERNUm8/view?usp=sharing","Situacioni")</f>
        <v>Situacioni</v>
      </c>
    </row>
    <row r="60" spans="1:15" ht="15" x14ac:dyDescent="0.2">
      <c r="A60" s="4">
        <v>54</v>
      </c>
      <c r="B60" s="5">
        <v>42571</v>
      </c>
      <c r="C60" s="5">
        <v>42628</v>
      </c>
      <c r="D60" s="7" t="s">
        <v>201</v>
      </c>
      <c r="E60" s="7" t="s">
        <v>201</v>
      </c>
      <c r="F60" s="7" t="s">
        <v>100</v>
      </c>
      <c r="G60" s="7" t="s">
        <v>89</v>
      </c>
      <c r="H60" s="33">
        <v>270.47000000000003</v>
      </c>
      <c r="I60" s="36">
        <v>719.45</v>
      </c>
      <c r="J60" s="36">
        <v>1812.15</v>
      </c>
      <c r="K60" s="38">
        <f t="shared" si="1"/>
        <v>2531.6000000000004</v>
      </c>
      <c r="L60" s="7" t="s">
        <v>19</v>
      </c>
      <c r="M60" s="7" t="s">
        <v>20</v>
      </c>
      <c r="N60" s="11" t="str">
        <f>HYPERLINK("https://drive.google.com/file/d/0Bxf6anvYj47HVThqN1pBNVJmdGs/view?usp=sharing","Leja me nr. 05-351-181056")</f>
        <v>Leja me nr. 05-351-181056</v>
      </c>
      <c r="O60" s="11" t="str">
        <f>HYPERLINK("https://drive.google.com/file/d/0Bxf6anvYj47HS1dsNG12bEI4c2s/view?usp=sharing","Situacioni")</f>
        <v>Situacioni</v>
      </c>
    </row>
    <row r="61" spans="1:15" ht="15" x14ac:dyDescent="0.2">
      <c r="A61" s="4">
        <v>55</v>
      </c>
      <c r="B61" s="5">
        <v>42522</v>
      </c>
      <c r="C61" s="5">
        <v>42626</v>
      </c>
      <c r="D61" s="7" t="s">
        <v>202</v>
      </c>
      <c r="E61" s="7" t="s">
        <v>202</v>
      </c>
      <c r="F61" s="7" t="s">
        <v>203</v>
      </c>
      <c r="G61" s="7" t="s">
        <v>30</v>
      </c>
      <c r="H61" s="33">
        <v>346.26</v>
      </c>
      <c r="I61" s="36">
        <v>921.05</v>
      </c>
      <c r="J61" s="36">
        <v>2319.94</v>
      </c>
      <c r="K61" s="38">
        <f t="shared" si="1"/>
        <v>3240.99</v>
      </c>
      <c r="L61" s="7" t="s">
        <v>19</v>
      </c>
      <c r="M61" s="7" t="s">
        <v>20</v>
      </c>
      <c r="N61" s="11" t="str">
        <f>HYPERLINK("https://drive.google.com/file/d/0Bxf6anvYj47HWXBIbVAxZ0JoZGM/view?usp=sharing","Leja me nr. 05-351-133761")</f>
        <v>Leja me nr. 05-351-133761</v>
      </c>
      <c r="O61" s="11" t="str">
        <f>HYPERLINK("https://drive.google.com/file/d/0Bxf6anvYj47HLWljZk80WUpDbzA/view?usp=sharing","Situacioni")</f>
        <v>Situacioni</v>
      </c>
    </row>
    <row r="62" spans="1:15" ht="25.5" x14ac:dyDescent="0.2">
      <c r="A62" s="4">
        <v>56</v>
      </c>
      <c r="B62" s="5">
        <v>42536</v>
      </c>
      <c r="C62" s="5">
        <v>42626</v>
      </c>
      <c r="D62" s="7" t="s">
        <v>204</v>
      </c>
      <c r="E62" s="7" t="s">
        <v>204</v>
      </c>
      <c r="F62" s="7" t="s">
        <v>205</v>
      </c>
      <c r="G62" s="7" t="s">
        <v>206</v>
      </c>
      <c r="H62" s="33">
        <v>1040.5999999999999</v>
      </c>
      <c r="I62" s="36">
        <v>5050.01</v>
      </c>
      <c r="J62" s="36">
        <v>3486.01</v>
      </c>
      <c r="K62" s="38">
        <f t="shared" si="1"/>
        <v>8536.02</v>
      </c>
      <c r="L62" s="7" t="s">
        <v>207</v>
      </c>
      <c r="M62" s="7" t="s">
        <v>20</v>
      </c>
      <c r="N62" s="11" t="str">
        <f>HYPERLINK("https://drive.google.com/file/d/0Bxf6anvYj47HMm10R0gwS29Ddlk/view?usp=sharing","Leja me nr. 05-351-148597")</f>
        <v>Leja me nr. 05-351-148597</v>
      </c>
      <c r="O62" s="11" t="str">
        <f>HYPERLINK("https://drive.google.com/file/d/0Bxf6anvYj47HcmsweDFHN2dWUTg/view?usp=sharing","Situacioni")</f>
        <v>Situacioni</v>
      </c>
    </row>
    <row r="63" spans="1:15" ht="15" x14ac:dyDescent="0.2">
      <c r="A63" s="4">
        <v>57</v>
      </c>
      <c r="B63" s="5">
        <v>42551</v>
      </c>
      <c r="C63" s="5">
        <v>42618</v>
      </c>
      <c r="D63" s="7" t="s">
        <v>208</v>
      </c>
      <c r="E63" s="7" t="s">
        <v>208</v>
      </c>
      <c r="F63" s="7" t="s">
        <v>209</v>
      </c>
      <c r="G63" s="7" t="s">
        <v>95</v>
      </c>
      <c r="H63" s="33">
        <v>633.9</v>
      </c>
      <c r="I63" s="36">
        <v>3372.34</v>
      </c>
      <c r="J63" s="36">
        <v>4247.13</v>
      </c>
      <c r="K63" s="38">
        <f t="shared" si="1"/>
        <v>7619.47</v>
      </c>
      <c r="L63" s="7" t="s">
        <v>36</v>
      </c>
      <c r="M63" s="7" t="s">
        <v>210</v>
      </c>
      <c r="N63" s="11" t="str">
        <f>HYPERLINK("https://drive.google.com/file/d/0Bxf6anvYj47HUklNQ2FhMmltRG8/view?usp=sharing","Leja me nr. 05-351-163063")</f>
        <v>Leja me nr. 05-351-163063</v>
      </c>
      <c r="O63" s="11" t="str">
        <f>HYPERLINK("https://drive.google.com/file/d/0Bxf6anvYj47HYjUyZEdPUFdyUzA/view?usp=sharing","Situacioni")</f>
        <v>Situacioni</v>
      </c>
    </row>
    <row r="64" spans="1:15" ht="15" x14ac:dyDescent="0.2">
      <c r="A64" s="4">
        <v>58</v>
      </c>
      <c r="B64" s="5">
        <v>42599</v>
      </c>
      <c r="C64" s="5">
        <v>42613</v>
      </c>
      <c r="D64" s="7" t="s">
        <v>211</v>
      </c>
      <c r="E64" s="7" t="s">
        <v>211</v>
      </c>
      <c r="F64" s="7" t="s">
        <v>212</v>
      </c>
      <c r="G64" s="7" t="s">
        <v>213</v>
      </c>
      <c r="H64" s="33">
        <v>396</v>
      </c>
      <c r="I64" s="36">
        <v>0</v>
      </c>
      <c r="J64" s="36">
        <v>2653.2</v>
      </c>
      <c r="K64" s="38">
        <f t="shared" si="1"/>
        <v>2653.2</v>
      </c>
      <c r="L64" s="7" t="s">
        <v>36</v>
      </c>
      <c r="M64" s="7" t="s">
        <v>214</v>
      </c>
      <c r="N64" s="11" t="str">
        <f>HYPERLINK("https://drive.google.com/file/d/0Bxf6anvYj47HWVBxZmxBMUNKSzA/view?usp=sharing","Leja me nr. 05-351-208638")</f>
        <v>Leja me nr. 05-351-208638</v>
      </c>
      <c r="O64" s="11" t="str">
        <f>HYPERLINK("https://drive.google.com/file/d/0Bxf6anvYj47HZzItM1pBemdSUU0/view?usp=sharing","Situacioni")</f>
        <v>Situacioni</v>
      </c>
    </row>
    <row r="65" spans="1:15" ht="25.5" x14ac:dyDescent="0.2">
      <c r="A65" s="4">
        <v>59</v>
      </c>
      <c r="B65" s="5">
        <v>42495</v>
      </c>
      <c r="C65" s="5">
        <v>42612</v>
      </c>
      <c r="D65" s="7" t="s">
        <v>215</v>
      </c>
      <c r="E65" s="25" t="s">
        <v>216</v>
      </c>
      <c r="F65" s="7" t="s">
        <v>217</v>
      </c>
      <c r="G65" s="7" t="s">
        <v>64</v>
      </c>
      <c r="H65" s="33">
        <v>5331.31</v>
      </c>
      <c r="I65" s="36">
        <v>60194.07</v>
      </c>
      <c r="J65" s="36">
        <v>35719.78</v>
      </c>
      <c r="K65" s="38">
        <f t="shared" si="1"/>
        <v>95913.85</v>
      </c>
      <c r="L65" s="7" t="s">
        <v>60</v>
      </c>
      <c r="M65" s="7" t="s">
        <v>26</v>
      </c>
      <c r="N65" s="11" t="str">
        <f>HYPERLINK("https://drive.google.com/file/d/0Bxf6anvYj47HZXcyTlhmOG0zakE/view?usp=sharing","Leja me nr. 05-351-108825")</f>
        <v>Leja me nr. 05-351-108825</v>
      </c>
      <c r="O65" s="11" t="str">
        <f>HYPERLINK("https://drive.google.com/file/d/0Bxf6anvYj47HZFdfU05DaVhZYTg/view?usp=sharing","Situacioni")</f>
        <v>Situacioni</v>
      </c>
    </row>
    <row r="66" spans="1:15" ht="15" x14ac:dyDescent="0.2">
      <c r="A66" s="4">
        <v>60</v>
      </c>
      <c r="B66" s="5">
        <v>42590</v>
      </c>
      <c r="C66" s="5">
        <v>42611</v>
      </c>
      <c r="D66" s="7" t="s">
        <v>218</v>
      </c>
      <c r="E66" s="7" t="s">
        <v>218</v>
      </c>
      <c r="F66" s="7" t="s">
        <v>219</v>
      </c>
      <c r="G66" s="7" t="s">
        <v>18</v>
      </c>
      <c r="H66" s="33">
        <v>367.58</v>
      </c>
      <c r="I66" s="36">
        <v>4233.78</v>
      </c>
      <c r="J66" s="36">
        <v>2462.7800000000002</v>
      </c>
      <c r="K66" s="38">
        <f t="shared" si="1"/>
        <v>6696.5599999999995</v>
      </c>
      <c r="L66" s="7" t="s">
        <v>60</v>
      </c>
      <c r="M66" s="7" t="s">
        <v>91</v>
      </c>
      <c r="N66" s="11" t="str">
        <f>HYPERLINK("https://drive.google.com/file/d/0Bxf6anvYj47HU1FZNVA2SXVCRjQ/view?usp=sharing","Leja me nr. 05-351-176379")</f>
        <v>Leja me nr. 05-351-176379</v>
      </c>
      <c r="O66" s="11" t="str">
        <f>HYPERLINK("https://drive.google.com/file/d/0Bxf6anvYj47HclFUTTBEeGEtcWM/view?usp=sharing","Situacioni")</f>
        <v>Situacioni</v>
      </c>
    </row>
    <row r="67" spans="1:15" ht="15" x14ac:dyDescent="0.2">
      <c r="A67" s="4">
        <v>61</v>
      </c>
      <c r="B67" s="5">
        <v>42584</v>
      </c>
      <c r="C67" s="5">
        <v>42606</v>
      </c>
      <c r="D67" s="7" t="s">
        <v>220</v>
      </c>
      <c r="E67" s="7" t="s">
        <v>220</v>
      </c>
      <c r="F67" s="7" t="s">
        <v>120</v>
      </c>
      <c r="G67" s="7" t="s">
        <v>221</v>
      </c>
      <c r="H67" s="33">
        <v>210.4</v>
      </c>
      <c r="I67" s="36">
        <v>559.66</v>
      </c>
      <c r="J67" s="36">
        <v>1409.68</v>
      </c>
      <c r="K67" s="38">
        <f t="shared" si="1"/>
        <v>1969.3400000000001</v>
      </c>
      <c r="L67" s="7" t="s">
        <v>60</v>
      </c>
      <c r="M67" s="7" t="s">
        <v>91</v>
      </c>
      <c r="N67" s="11" t="str">
        <f>HYPERLINK("https://drive.google.com/file/d/0Bxf6anvYj47HVFRGLVBjYlpMT2c/view?usp=sharing","Leja me nr. 05-351-192578")</f>
        <v>Leja me nr. 05-351-192578</v>
      </c>
      <c r="O67" s="11" t="str">
        <f>HYPERLINK("https://drive.google.com/file/d/0Bxf6anvYj47HRlJsQWllMXNLNkU/view?usp=sharing","Situacioni")</f>
        <v>Situacioni</v>
      </c>
    </row>
    <row r="68" spans="1:15" ht="25.5" x14ac:dyDescent="0.2">
      <c r="A68" s="4">
        <v>62</v>
      </c>
      <c r="B68" s="5">
        <v>42536</v>
      </c>
      <c r="C68" s="5">
        <v>42604</v>
      </c>
      <c r="D68" s="7" t="s">
        <v>222</v>
      </c>
      <c r="E68" s="7" t="s">
        <v>222</v>
      </c>
      <c r="F68" s="7" t="s">
        <v>100</v>
      </c>
      <c r="G68" s="7" t="s">
        <v>223</v>
      </c>
      <c r="H68" s="33">
        <v>348</v>
      </c>
      <c r="I68" s="36">
        <v>925.68</v>
      </c>
      <c r="J68" s="36">
        <v>2331.6</v>
      </c>
      <c r="K68" s="38">
        <f t="shared" si="1"/>
        <v>3257.2799999999997</v>
      </c>
      <c r="L68" s="7" t="s">
        <v>39</v>
      </c>
      <c r="M68" s="7" t="s">
        <v>91</v>
      </c>
      <c r="N68" s="11" t="str">
        <f>HYPERLINK("https://drive.google.com/file/d/0Bxf6anvYj47HdnowZWZHeFVyR2s/view?usp=sharing","Leja mr nr. 05-351-148739")</f>
        <v>Leja mr nr. 05-351-148739</v>
      </c>
      <c r="O68" s="11" t="str">
        <f>HYPERLINK("https://drive.google.com/file/d/0Bxf6anvYj47HaDZ2cUVzbTZEVlE/view?usp=sharing","Situacioni")</f>
        <v>Situacioni</v>
      </c>
    </row>
    <row r="69" spans="1:15" ht="25.5" x14ac:dyDescent="0.2">
      <c r="A69" s="4">
        <v>63</v>
      </c>
      <c r="B69" s="5">
        <v>42570</v>
      </c>
      <c r="C69" s="5">
        <v>42604</v>
      </c>
      <c r="D69" s="7" t="s">
        <v>224</v>
      </c>
      <c r="E69" s="7" t="s">
        <v>224</v>
      </c>
      <c r="F69" s="7" t="s">
        <v>83</v>
      </c>
      <c r="G69" s="7" t="s">
        <v>30</v>
      </c>
      <c r="H69" s="33">
        <v>180</v>
      </c>
      <c r="I69" s="36">
        <v>478.8</v>
      </c>
      <c r="J69" s="36">
        <v>1206</v>
      </c>
      <c r="K69" s="38">
        <f t="shared" si="1"/>
        <v>1684.8</v>
      </c>
      <c r="L69" s="7" t="s">
        <v>19</v>
      </c>
      <c r="M69" s="7" t="s">
        <v>91</v>
      </c>
      <c r="N69" s="11" t="str">
        <f>HYPERLINK("https://drive.google.com/file/d/0Bxf6anvYj47HQ3Z4VXB0aE1DSmM/view?usp=sharing","Leja me nr. 05-351-178980")</f>
        <v>Leja me nr. 05-351-178980</v>
      </c>
      <c r="O69" s="11" t="str">
        <f>HYPERLINK("https://drive.google.com/file/d/0Bxf6anvYj47HYTBoWVRPU3VEM0k/view?usp=sharing","Situacioni")</f>
        <v>Situacioni</v>
      </c>
    </row>
    <row r="70" spans="1:15" ht="15" x14ac:dyDescent="0.2">
      <c r="A70" s="4">
        <v>64</v>
      </c>
      <c r="B70" s="5">
        <v>42555</v>
      </c>
      <c r="C70" s="5">
        <v>42601</v>
      </c>
      <c r="D70" s="7" t="s">
        <v>225</v>
      </c>
      <c r="E70" s="7" t="s">
        <v>226</v>
      </c>
      <c r="F70" s="7" t="s">
        <v>227</v>
      </c>
      <c r="G70" s="7" t="s">
        <v>30</v>
      </c>
      <c r="H70" s="33">
        <v>8339.4</v>
      </c>
      <c r="I70" s="36">
        <v>110914.02</v>
      </c>
      <c r="J70" s="36">
        <v>55873.98</v>
      </c>
      <c r="K70" s="38">
        <f t="shared" si="1"/>
        <v>166788</v>
      </c>
      <c r="L70" s="7" t="s">
        <v>228</v>
      </c>
      <c r="M70" s="7" t="s">
        <v>20</v>
      </c>
      <c r="N70" s="11" t="str">
        <f>HYPERLINK("https://drive.google.com/file/d/0Bxf6anvYj47HQ29lZzhCUG1rMmM/view?usp=sharing","Leja me nr. 05-351-165162")</f>
        <v>Leja me nr. 05-351-165162</v>
      </c>
      <c r="O70" s="11" t="str">
        <f>HYPERLINK("https://drive.google.com/file/d/0Bxf6anvYj47HQWsxRnVWVThlckE/view?usp=sharing","Situacioni")</f>
        <v>Situacioni</v>
      </c>
    </row>
    <row r="71" spans="1:15" ht="25.5" x14ac:dyDescent="0.2">
      <c r="A71" s="4">
        <v>65</v>
      </c>
      <c r="B71" s="5">
        <v>42543</v>
      </c>
      <c r="C71" s="5">
        <v>42600</v>
      </c>
      <c r="D71" s="7" t="s">
        <v>229</v>
      </c>
      <c r="E71" s="25" t="s">
        <v>230</v>
      </c>
      <c r="F71" s="7" t="s">
        <v>231</v>
      </c>
      <c r="G71" s="7" t="s">
        <v>232</v>
      </c>
      <c r="H71" s="33">
        <v>7076.7</v>
      </c>
      <c r="I71" s="36">
        <v>77415.31</v>
      </c>
      <c r="J71" s="36">
        <v>47413.89</v>
      </c>
      <c r="K71" s="38">
        <f t="shared" si="1"/>
        <v>124829.2</v>
      </c>
      <c r="L71" s="7" t="s">
        <v>233</v>
      </c>
      <c r="M71" s="7" t="s">
        <v>26</v>
      </c>
      <c r="N71" s="11" t="str">
        <f>HYPERLINK("https://drive.google.com/file/d/0Bxf6anvYj47HOTFyODA3ZXdNdVE/view?usp=sharing","Leja me nr. 05-351-155470")</f>
        <v>Leja me nr. 05-351-155470</v>
      </c>
      <c r="O71" s="11" t="str">
        <f>HYPERLINK("https://drive.google.com/file/d/0Bxf6anvYj47HSDIyc1RXOGhJeTA/view?usp=sharing","Situacioni")</f>
        <v>Situacioni</v>
      </c>
    </row>
    <row r="72" spans="1:15" ht="15" x14ac:dyDescent="0.2">
      <c r="A72" s="4">
        <v>66</v>
      </c>
      <c r="B72" s="5">
        <v>42529</v>
      </c>
      <c r="C72" s="5">
        <v>42600</v>
      </c>
      <c r="D72" s="7" t="s">
        <v>234</v>
      </c>
      <c r="E72" s="7" t="s">
        <v>234</v>
      </c>
      <c r="F72" s="7" t="s">
        <v>235</v>
      </c>
      <c r="G72" s="7" t="s">
        <v>134</v>
      </c>
      <c r="H72" s="33">
        <v>226.33</v>
      </c>
      <c r="I72" s="36">
        <v>301.02</v>
      </c>
      <c r="J72" s="36">
        <v>1516.41</v>
      </c>
      <c r="K72" s="38">
        <f t="shared" si="1"/>
        <v>1817.43</v>
      </c>
      <c r="L72" s="7" t="s">
        <v>19</v>
      </c>
      <c r="M72" s="7" t="s">
        <v>91</v>
      </c>
      <c r="N72" s="11" t="str">
        <f>HYPERLINK("https://drive.google.com/file/d/0Bxf6anvYj47Ha3ZJdjQydGJDdkU/view?usp=sharing","Leja me nr. 05-351-140599")</f>
        <v>Leja me nr. 05-351-140599</v>
      </c>
      <c r="O72" s="11" t="str">
        <f>HYPERLINK("https://drive.google.com/file/d/0Bxf6anvYj47HNzJNMXJUeFdGeGM/view?usp=sharing","Situacioni")</f>
        <v>Situacioni</v>
      </c>
    </row>
    <row r="73" spans="1:15" ht="25.5" x14ac:dyDescent="0.2">
      <c r="A73" s="4">
        <v>67</v>
      </c>
      <c r="B73" s="5">
        <v>42486</v>
      </c>
      <c r="C73" s="5">
        <v>42599</v>
      </c>
      <c r="D73" s="7" t="s">
        <v>236</v>
      </c>
      <c r="E73" s="25" t="s">
        <v>237</v>
      </c>
      <c r="F73" s="7" t="s">
        <v>238</v>
      </c>
      <c r="G73" s="7" t="s">
        <v>89</v>
      </c>
      <c r="H73" s="33">
        <v>2995.3</v>
      </c>
      <c r="I73" s="36">
        <v>60527.63</v>
      </c>
      <c r="J73" s="36">
        <v>39904.93</v>
      </c>
      <c r="K73" s="38">
        <f t="shared" si="1"/>
        <v>100432.56</v>
      </c>
      <c r="L73" s="7" t="s">
        <v>239</v>
      </c>
      <c r="M73" s="7" t="s">
        <v>26</v>
      </c>
      <c r="N73" s="11" t="str">
        <f>HYPERLINK("https://drive.google.com/file/d/0Bxf6anvYj47HQ0lDSDlDZlRlWnM/view?usp=sharing","Leja me nr. 05-351-99665")</f>
        <v>Leja me nr. 05-351-99665</v>
      </c>
      <c r="O73" s="11" t="str">
        <f>HYPERLINK("https://drive.google.com/file/d/0Bxf6anvYj47HRklIY3d3UEtLVW8/view?usp=sharing","Situacioni")</f>
        <v>Situacioni</v>
      </c>
    </row>
    <row r="74" spans="1:15" ht="38.25" x14ac:dyDescent="0.2">
      <c r="A74" s="4">
        <v>68</v>
      </c>
      <c r="B74" s="5">
        <v>42464</v>
      </c>
      <c r="C74" s="5">
        <v>42599</v>
      </c>
      <c r="D74" s="7" t="s">
        <v>240</v>
      </c>
      <c r="E74" s="25" t="s">
        <v>241</v>
      </c>
      <c r="F74" s="7" t="s">
        <v>242</v>
      </c>
      <c r="G74" s="7" t="s">
        <v>243</v>
      </c>
      <c r="H74" s="33">
        <v>12880.74</v>
      </c>
      <c r="I74" s="36">
        <v>132062.75</v>
      </c>
      <c r="J74" s="36">
        <v>86300.96</v>
      </c>
      <c r="K74" s="38">
        <f t="shared" si="1"/>
        <v>218363.71000000002</v>
      </c>
      <c r="L74" s="7" t="s">
        <v>244</v>
      </c>
      <c r="M74" s="7" t="s">
        <v>26</v>
      </c>
      <c r="N74" s="11" t="str">
        <f>HYPERLINK("https://drive.google.com/file/d/0Bxf6anvYj47HUENlcF9OVkNVTjA/view?usp=sharing","Leja me nr. 05-351-77559")</f>
        <v>Leja me nr. 05-351-77559</v>
      </c>
      <c r="O74" s="11" t="str">
        <f>HYPERLINK("https://drive.google.com/file/d/0Bxf6anvYj47HVHN5YUphUzlvbTQ/view?usp=sharing","Situacioni")</f>
        <v>Situacioni</v>
      </c>
    </row>
    <row r="75" spans="1:15" ht="23.25" customHeight="1" x14ac:dyDescent="0.2">
      <c r="A75" s="4">
        <v>69</v>
      </c>
      <c r="B75" s="5">
        <v>42409</v>
      </c>
      <c r="C75" s="5">
        <v>42599</v>
      </c>
      <c r="D75" s="7" t="s">
        <v>245</v>
      </c>
      <c r="E75" s="7" t="s">
        <v>246</v>
      </c>
      <c r="F75" s="7" t="s">
        <v>247</v>
      </c>
      <c r="G75" s="7" t="s">
        <v>89</v>
      </c>
      <c r="H75" s="33">
        <v>4498.2</v>
      </c>
      <c r="I75" s="36">
        <v>51231.6</v>
      </c>
      <c r="J75" s="36">
        <v>30137.94</v>
      </c>
      <c r="K75" s="38">
        <f t="shared" si="1"/>
        <v>81369.539999999994</v>
      </c>
      <c r="L75" s="7" t="s">
        <v>248</v>
      </c>
      <c r="M75" s="7" t="s">
        <v>26</v>
      </c>
      <c r="N75" s="11" t="str">
        <f>HYPERLINK("https://drive.google.com/file/d/0Bxf6anvYj47HSXFxcTdEZmVick0/view?usp=sharing","Leja me nr. 05-351-33403")</f>
        <v>Leja me nr. 05-351-33403</v>
      </c>
      <c r="O75" s="11" t="str">
        <f>HYPERLINK("https://drive.google.com/file/d/0Bxf6anvYj47HNmNNWUE4RlNya2M/view?usp=sharing","Situacioni")</f>
        <v>Situacioni</v>
      </c>
    </row>
    <row r="76" spans="1:15" ht="38.25" x14ac:dyDescent="0.2">
      <c r="A76" s="4">
        <v>70</v>
      </c>
      <c r="B76" s="5">
        <v>42458</v>
      </c>
      <c r="C76" s="5">
        <v>42599</v>
      </c>
      <c r="D76" s="7" t="s">
        <v>249</v>
      </c>
      <c r="E76" s="28" t="s">
        <v>250</v>
      </c>
      <c r="F76" s="28" t="s">
        <v>250</v>
      </c>
      <c r="G76" s="7" t="s">
        <v>251</v>
      </c>
      <c r="H76" s="33">
        <v>892.9</v>
      </c>
      <c r="I76" s="36">
        <v>43656.19</v>
      </c>
      <c r="J76" s="36">
        <v>27443.33</v>
      </c>
      <c r="K76" s="38">
        <f t="shared" si="1"/>
        <v>71099.520000000004</v>
      </c>
      <c r="L76" s="7" t="s">
        <v>252</v>
      </c>
      <c r="M76" s="7" t="s">
        <v>26</v>
      </c>
      <c r="N76" s="11" t="str">
        <f>HYPERLINK("https://drive.google.com/open?id=0Bxf6anvYj47HYzd1T2ZPU0g1NEE","Leja me nr. 05-351-20978/3")</f>
        <v>Leja me nr. 05-351-20978/3</v>
      </c>
      <c r="O76" s="11" t="str">
        <f>HYPERLINK("https://drive.google.com/open?id=0Bxf6anvYj47HTTk2NkJsNTB1VU0","Situacioni")</f>
        <v>Situacioni</v>
      </c>
    </row>
    <row r="77" spans="1:15" ht="15" x14ac:dyDescent="0.2">
      <c r="A77" s="4">
        <v>71</v>
      </c>
      <c r="B77" s="5">
        <v>42536</v>
      </c>
      <c r="C77" s="5">
        <v>42597</v>
      </c>
      <c r="D77" s="7" t="s">
        <v>204</v>
      </c>
      <c r="E77" s="7" t="s">
        <v>204</v>
      </c>
      <c r="F77" s="7" t="s">
        <v>253</v>
      </c>
      <c r="G77" s="7" t="s">
        <v>206</v>
      </c>
      <c r="H77" s="33">
        <v>349.93</v>
      </c>
      <c r="I77" s="36">
        <v>682.5</v>
      </c>
      <c r="J77" s="36">
        <v>2344.5300000000002</v>
      </c>
      <c r="K77" s="38">
        <f t="shared" si="1"/>
        <v>3027.03</v>
      </c>
      <c r="L77" s="7" t="s">
        <v>60</v>
      </c>
      <c r="M77" s="7" t="s">
        <v>91</v>
      </c>
      <c r="N77" s="11" t="str">
        <f>HYPERLINK("https://drive.google.com/file/d/0Bxf6anvYj47HbDVqSDZ3QVIwQ3M/view?usp=sharing","Leja me nr. 05-351-148583")</f>
        <v>Leja me nr. 05-351-148583</v>
      </c>
      <c r="O77" s="11" t="str">
        <f>HYPERLINK("https://drive.google.com/file/d/0Bxf6anvYj47HWGxna1pQclRGQVU/view?usp=sharing","Situacioni")</f>
        <v>Situacioni</v>
      </c>
    </row>
    <row r="78" spans="1:15" ht="25.5" x14ac:dyDescent="0.2">
      <c r="A78" s="4">
        <v>72</v>
      </c>
      <c r="B78" s="5">
        <v>42578</v>
      </c>
      <c r="C78" s="5">
        <v>42592</v>
      </c>
      <c r="D78" s="7" t="s">
        <v>254</v>
      </c>
      <c r="E78" s="7" t="s">
        <v>254</v>
      </c>
      <c r="F78" s="7" t="s">
        <v>255</v>
      </c>
      <c r="G78" s="7" t="s">
        <v>134</v>
      </c>
      <c r="H78" s="33">
        <v>420</v>
      </c>
      <c r="I78" s="36">
        <v>558.69000000000005</v>
      </c>
      <c r="J78" s="36">
        <v>2814.47</v>
      </c>
      <c r="K78" s="38">
        <f t="shared" si="1"/>
        <v>3373.16</v>
      </c>
      <c r="L78" s="7" t="s">
        <v>256</v>
      </c>
      <c r="M78" s="7" t="s">
        <v>91</v>
      </c>
      <c r="N78" s="11" t="str">
        <f>HYPERLINK("https://drive.google.com/file/d/0Bxf6anvYj47HalRkQWxrUWdwUjA/view?usp=sharing","Leja me nr. 05-351-187442")</f>
        <v>Leja me nr. 05-351-187442</v>
      </c>
      <c r="O78" s="11" t="str">
        <f>HYPERLINK("https://drive.google.com/file/d/0Bxf6anvYj47HaHdGVk8yVTdqX2c/view?usp=sharing","Situacioni")</f>
        <v>Situacioni</v>
      </c>
    </row>
    <row r="79" spans="1:15" ht="15" x14ac:dyDescent="0.2">
      <c r="A79" s="4">
        <v>73</v>
      </c>
      <c r="B79" s="5">
        <v>42535</v>
      </c>
      <c r="C79" s="5">
        <v>42592</v>
      </c>
      <c r="D79" s="7" t="s">
        <v>257</v>
      </c>
      <c r="E79" s="7" t="s">
        <v>257</v>
      </c>
      <c r="F79" s="7" t="s">
        <v>112</v>
      </c>
      <c r="G79" s="7" t="s">
        <v>81</v>
      </c>
      <c r="H79" s="33">
        <v>205.71</v>
      </c>
      <c r="I79" s="36">
        <v>273.58999999999997</v>
      </c>
      <c r="J79" s="36">
        <v>1378.25</v>
      </c>
      <c r="K79" s="38">
        <f t="shared" ref="K79:K141" si="2">I79+J79</f>
        <v>1651.84</v>
      </c>
      <c r="L79" s="7" t="s">
        <v>19</v>
      </c>
      <c r="M79" s="7" t="s">
        <v>91</v>
      </c>
      <c r="N79" s="11" t="str">
        <f>HYPERLINK("https://drive.google.com/file/d/0Bxf6anvYj47HTW1naWk5WjNjMm8/view?usp=sharing","Leja me nr. 05-351-146827")</f>
        <v>Leja me nr. 05-351-146827</v>
      </c>
      <c r="O79" s="11" t="str">
        <f>HYPERLINK("https://drive.google.com/file/d/0Bxf6anvYj47HWXlkSWxvNmFTVlk/view?usp=sharing","Situacioni")</f>
        <v>Situacioni</v>
      </c>
    </row>
    <row r="80" spans="1:15" ht="15" x14ac:dyDescent="0.2">
      <c r="A80" s="4">
        <v>74</v>
      </c>
      <c r="B80" s="5">
        <v>42565</v>
      </c>
      <c r="C80" s="5">
        <v>42591</v>
      </c>
      <c r="D80" s="7" t="s">
        <v>258</v>
      </c>
      <c r="E80" s="7" t="s">
        <v>258</v>
      </c>
      <c r="F80" s="7" t="s">
        <v>259</v>
      </c>
      <c r="G80" s="7" t="s">
        <v>47</v>
      </c>
      <c r="H80" s="33">
        <v>45.94</v>
      </c>
      <c r="I80" s="36">
        <v>244.4</v>
      </c>
      <c r="J80" s="36">
        <v>307.79000000000002</v>
      </c>
      <c r="K80" s="38">
        <f t="shared" si="2"/>
        <v>552.19000000000005</v>
      </c>
      <c r="L80" s="7" t="s">
        <v>36</v>
      </c>
      <c r="M80" s="7" t="s">
        <v>210</v>
      </c>
      <c r="N80" s="11" t="str">
        <f>HYPERLINK("https://drive.google.com/file/d/0Bxf6anvYj47HclpzU3kxMGprc0U/view?usp=sharing","Leja me nr. 05-351-164637")</f>
        <v>Leja me nr. 05-351-164637</v>
      </c>
      <c r="O80" s="11" t="str">
        <f>HYPERLINK("https://drive.google.com/file/d/0Bxf6anvYj47HNWxIcEVjcGdEeW8/view?usp=sharing","Situacioni")</f>
        <v>Situacioni</v>
      </c>
    </row>
    <row r="81" spans="1:15" ht="15" x14ac:dyDescent="0.2">
      <c r="A81" s="4">
        <v>75</v>
      </c>
      <c r="B81" s="5">
        <v>42514</v>
      </c>
      <c r="C81" s="5">
        <v>42591</v>
      </c>
      <c r="D81" s="7" t="s">
        <v>260</v>
      </c>
      <c r="E81" s="7" t="s">
        <v>260</v>
      </c>
      <c r="F81" s="7" t="s">
        <v>261</v>
      </c>
      <c r="G81" s="7" t="s">
        <v>262</v>
      </c>
      <c r="H81" s="33">
        <v>94</v>
      </c>
      <c r="I81" s="36">
        <v>500.08</v>
      </c>
      <c r="J81" s="36">
        <v>629.79999999999995</v>
      </c>
      <c r="K81" s="38">
        <f t="shared" si="2"/>
        <v>1129.8799999999999</v>
      </c>
      <c r="L81" s="7" t="s">
        <v>36</v>
      </c>
      <c r="M81" s="7" t="s">
        <v>210</v>
      </c>
      <c r="N81" s="11" t="str">
        <f>HYPERLINK("https://drive.google.com/file/d/0Bxf6anvYj47HeXhQUENPRXNzMzg/view?usp=sharing","Leja me nr. 05-351-39574/2")</f>
        <v>Leja me nr. 05-351-39574/2</v>
      </c>
      <c r="O81" s="11" t="str">
        <f>HYPERLINK("https://drive.google.com/file/d/0Bxf6anvYj47HbHBOTGF1blB5b0E/view?usp=sharing","Situacioni")</f>
        <v>Situacioni</v>
      </c>
    </row>
    <row r="82" spans="1:15" ht="15" x14ac:dyDescent="0.2">
      <c r="A82" s="4">
        <v>76</v>
      </c>
      <c r="B82" s="5">
        <v>42503</v>
      </c>
      <c r="C82" s="5">
        <v>42590</v>
      </c>
      <c r="D82" s="7" t="s">
        <v>263</v>
      </c>
      <c r="E82" s="7" t="s">
        <v>263</v>
      </c>
      <c r="F82" s="7" t="s">
        <v>264</v>
      </c>
      <c r="G82" s="7" t="s">
        <v>265</v>
      </c>
      <c r="H82" s="33">
        <v>449.13</v>
      </c>
      <c r="I82" s="36">
        <v>5485.84</v>
      </c>
      <c r="J82" s="36">
        <v>3009.16</v>
      </c>
      <c r="K82" s="38">
        <f t="shared" si="2"/>
        <v>8495</v>
      </c>
      <c r="L82" s="7" t="s">
        <v>60</v>
      </c>
      <c r="M82" s="7" t="s">
        <v>91</v>
      </c>
      <c r="N82" s="11" t="str">
        <f>HYPERLINK("https://drive.google.com/file/d/0Bxf6anvYj47HR2tGMDF2alV3bXM/view?usp=sharing","Leja me nr. 05-351-115801")</f>
        <v>Leja me nr. 05-351-115801</v>
      </c>
      <c r="O82" s="11" t="str">
        <f>HYPERLINK("https://drive.google.com/file/d/0Bxf6anvYj47HUW9XRW1RMGdMWlE/view?usp=sharing","Situacioni")</f>
        <v>Situacioni</v>
      </c>
    </row>
    <row r="83" spans="1:15" ht="15" x14ac:dyDescent="0.2">
      <c r="A83" s="4">
        <v>77</v>
      </c>
      <c r="B83" s="5">
        <v>42549</v>
      </c>
      <c r="C83" s="5">
        <v>42586</v>
      </c>
      <c r="D83" s="7" t="s">
        <v>54</v>
      </c>
      <c r="E83" s="7" t="s">
        <v>54</v>
      </c>
      <c r="F83" s="7" t="s">
        <v>266</v>
      </c>
      <c r="G83" s="7" t="s">
        <v>267</v>
      </c>
      <c r="H83" s="33">
        <v>682.74</v>
      </c>
      <c r="I83" s="36" t="s">
        <v>117</v>
      </c>
      <c r="J83" s="36" t="s">
        <v>117</v>
      </c>
      <c r="K83" s="38" t="s">
        <v>117</v>
      </c>
      <c r="L83" s="7" t="s">
        <v>170</v>
      </c>
      <c r="M83" s="7" t="s">
        <v>268</v>
      </c>
      <c r="N83" s="11" t="str">
        <f>HYPERLINK("https://drive.google.com/file/d/0Bxf6anvYj47HTGVrY1ZGOGZDVWs/view?usp=sharing","Leja me nr. 05-351-52073/1")</f>
        <v>Leja me nr. 05-351-52073/1</v>
      </c>
      <c r="O83" s="11" t="str">
        <f>HYPERLINK("https://drive.google.com/file/d/0Bxf6anvYj47HRV82Q3p4a1RYbmM/view?usp=sharing","Situacioni")</f>
        <v>Situacioni</v>
      </c>
    </row>
    <row r="84" spans="1:15" ht="15" x14ac:dyDescent="0.2">
      <c r="A84" s="4">
        <v>78</v>
      </c>
      <c r="B84" s="5">
        <v>42529</v>
      </c>
      <c r="C84" s="5">
        <v>42584</v>
      </c>
      <c r="D84" s="7" t="s">
        <v>269</v>
      </c>
      <c r="E84" s="7" t="s">
        <v>269</v>
      </c>
      <c r="F84" s="7" t="s">
        <v>270</v>
      </c>
      <c r="G84" s="7" t="s">
        <v>156</v>
      </c>
      <c r="H84" s="33">
        <v>340.68</v>
      </c>
      <c r="I84" s="36">
        <v>906.21</v>
      </c>
      <c r="J84" s="36">
        <v>2282.5500000000002</v>
      </c>
      <c r="K84" s="38">
        <f t="shared" si="2"/>
        <v>3188.76</v>
      </c>
      <c r="L84" s="7" t="s">
        <v>19</v>
      </c>
      <c r="M84" s="7" t="s">
        <v>91</v>
      </c>
      <c r="N84" s="11" t="str">
        <f>HYPERLINK("https://drive.google.com/file/d/0Bxf6anvYj47HZ0p6d3Y0V0YtS0U/view?usp=sharing","Leja me nr. 05-351-140424")</f>
        <v>Leja me nr. 05-351-140424</v>
      </c>
      <c r="O84" s="11" t="str">
        <f>HYPERLINK("https://drive.google.com/file/d/0Bxf6anvYj47HRzRBajcwZFRZRjg/view?usp=sharing","Situacioni")</f>
        <v>Situacioni</v>
      </c>
    </row>
    <row r="85" spans="1:15" ht="25.5" x14ac:dyDescent="0.2">
      <c r="A85" s="4">
        <v>79</v>
      </c>
      <c r="B85" s="5">
        <v>42461</v>
      </c>
      <c r="C85" s="5">
        <v>42583</v>
      </c>
      <c r="D85" s="7" t="s">
        <v>271</v>
      </c>
      <c r="E85" s="7" t="s">
        <v>272</v>
      </c>
      <c r="F85" s="7" t="s">
        <v>80</v>
      </c>
      <c r="G85" s="7" t="s">
        <v>273</v>
      </c>
      <c r="H85" s="33">
        <v>5955.64</v>
      </c>
      <c r="I85" s="36">
        <v>66068.820000000007</v>
      </c>
      <c r="J85" s="36">
        <v>39902.79</v>
      </c>
      <c r="K85" s="38">
        <f t="shared" si="2"/>
        <v>105971.61000000002</v>
      </c>
      <c r="L85" s="7" t="s">
        <v>274</v>
      </c>
      <c r="M85" s="7" t="s">
        <v>26</v>
      </c>
      <c r="N85" s="11" t="str">
        <f>HYPERLINK("https://drive.google.com/file/d/0Bxf6anvYj47HYkhKT3pZR0JWUmc/view?usp=sharing","Leja me nr. 05-351-76671")</f>
        <v>Leja me nr. 05-351-76671</v>
      </c>
      <c r="O85" s="11" t="str">
        <f>HYPERLINK("https://drive.google.com/file/d/0Bxf6anvYj47HSTE1bG1Fd25ieTA/view?usp=sharing","Situacioni")</f>
        <v>Situacioni</v>
      </c>
    </row>
    <row r="86" spans="1:15" ht="25.5" x14ac:dyDescent="0.2">
      <c r="A86" s="4">
        <v>80</v>
      </c>
      <c r="B86" s="5">
        <v>42192</v>
      </c>
      <c r="C86" s="5">
        <v>42583</v>
      </c>
      <c r="D86" s="7" t="s">
        <v>275</v>
      </c>
      <c r="E86" s="25" t="s">
        <v>276</v>
      </c>
      <c r="F86" s="7" t="s">
        <v>277</v>
      </c>
      <c r="G86" s="7" t="s">
        <v>278</v>
      </c>
      <c r="H86" s="33">
        <v>31850.7</v>
      </c>
      <c r="I86" s="36">
        <v>423614.31</v>
      </c>
      <c r="J86" s="36">
        <v>213399.69</v>
      </c>
      <c r="K86" s="38">
        <f t="shared" si="2"/>
        <v>637014</v>
      </c>
      <c r="L86" s="7" t="s">
        <v>279</v>
      </c>
      <c r="M86" s="7" t="s">
        <v>26</v>
      </c>
      <c r="N86" s="11" t="str">
        <f>HYPERLINK("https://drive.google.com/file/d/0Bxf6anvYj47HOU1KcTZFYUxMRlE/view?usp=sharing","Leja me nr. 05-351-98293/1")</f>
        <v>Leja me nr. 05-351-98293/1</v>
      </c>
      <c r="O86" s="14" t="str">
        <f>HYPERLINK("https://drive.google.com/file/d/0Bxf6anvYj47HVGo1Y19RWmUxWkE/view?usp=sharing","Situacioni")</f>
        <v>Situacioni</v>
      </c>
    </row>
    <row r="87" spans="1:15" ht="15" x14ac:dyDescent="0.2">
      <c r="A87" s="4">
        <v>81</v>
      </c>
      <c r="B87" s="5">
        <v>42543</v>
      </c>
      <c r="C87" s="5">
        <v>42578</v>
      </c>
      <c r="D87" s="7" t="s">
        <v>280</v>
      </c>
      <c r="E87" s="7" t="s">
        <v>280</v>
      </c>
      <c r="F87" s="7" t="s">
        <v>281</v>
      </c>
      <c r="G87" s="7" t="s">
        <v>30</v>
      </c>
      <c r="H87" s="33">
        <v>217.5</v>
      </c>
      <c r="I87" s="36">
        <v>248.97</v>
      </c>
      <c r="J87" s="36">
        <v>1457.25</v>
      </c>
      <c r="K87" s="38">
        <f t="shared" si="2"/>
        <v>1706.22</v>
      </c>
      <c r="L87" s="7" t="s">
        <v>60</v>
      </c>
      <c r="M87" s="7" t="s">
        <v>91</v>
      </c>
      <c r="N87" s="11" t="str">
        <f>HYPERLINK("https://drive.google.com/file/d/0Bxf6anvYj47HS2VkaUtzV1ZxNUE/view?usp=sharing","Leja me nr. 05-351-47536/1")</f>
        <v>Leja me nr. 05-351-47536/1</v>
      </c>
      <c r="O87" s="11" t="str">
        <f>HYPERLINK("https://drive.google.com/file/d/0Bxf6anvYj47HUG85cFZEZjFsUWs/view?usp=sharing","Situacioni")</f>
        <v>Situacioni</v>
      </c>
    </row>
    <row r="88" spans="1:15" ht="15" x14ac:dyDescent="0.2">
      <c r="A88" s="4">
        <v>82</v>
      </c>
      <c r="B88" s="5">
        <v>42527</v>
      </c>
      <c r="C88" s="5">
        <v>42578</v>
      </c>
      <c r="D88" s="7" t="s">
        <v>282</v>
      </c>
      <c r="E88" s="7" t="s">
        <v>282</v>
      </c>
      <c r="F88" s="7" t="s">
        <v>283</v>
      </c>
      <c r="G88" s="7" t="s">
        <v>284</v>
      </c>
      <c r="H88" s="33">
        <v>198.89</v>
      </c>
      <c r="I88" s="36">
        <v>529.04</v>
      </c>
      <c r="J88" s="36">
        <v>1332.58</v>
      </c>
      <c r="K88" s="38">
        <f t="shared" si="2"/>
        <v>1861.62</v>
      </c>
      <c r="L88" s="7" t="s">
        <v>19</v>
      </c>
      <c r="M88" s="7" t="s">
        <v>91</v>
      </c>
      <c r="N88" s="11" t="str">
        <f>HYPERLINK("https://drive.google.com/file/d/0Bxf6anvYj47HclZIU0RtVEp4SDg/view?usp=sharing","Leja me nr. 05-351-138471")</f>
        <v>Leja me nr. 05-351-138471</v>
      </c>
      <c r="O88" s="11" t="str">
        <f>HYPERLINK("https://drive.google.com/file/d/0Bxf6anvYj47HSXRWZDNkbHFNWDg/view?usp=sharing","Situacioni")</f>
        <v>Situacioni</v>
      </c>
    </row>
    <row r="89" spans="1:15" ht="25.5" x14ac:dyDescent="0.2">
      <c r="A89" s="4">
        <v>83</v>
      </c>
      <c r="B89" s="5">
        <v>42488</v>
      </c>
      <c r="C89" s="5">
        <v>42572</v>
      </c>
      <c r="D89" s="7" t="s">
        <v>285</v>
      </c>
      <c r="E89" s="7" t="s">
        <v>112</v>
      </c>
      <c r="F89" s="7" t="s">
        <v>112</v>
      </c>
      <c r="G89" s="7" t="s">
        <v>89</v>
      </c>
      <c r="H89" s="33">
        <v>2334.15</v>
      </c>
      <c r="I89" s="36">
        <v>26998.07</v>
      </c>
      <c r="J89" s="36">
        <v>15638.81</v>
      </c>
      <c r="K89" s="38">
        <f t="shared" si="2"/>
        <v>42636.88</v>
      </c>
      <c r="L89" s="7" t="s">
        <v>248</v>
      </c>
      <c r="M89" s="7" t="s">
        <v>26</v>
      </c>
      <c r="N89" s="11" t="str">
        <f>HYPERLINK("https://drive.google.com/file/d/0Bxf6anvYj47Hc09VMmRDZ2cwSW8/view?usp=sharing","Leja me nr. 05-351-102650")</f>
        <v>Leja me nr. 05-351-102650</v>
      </c>
      <c r="O89" s="11" t="str">
        <f>HYPERLINK("https://drive.google.com/file/d/0Bxf6anvYj47HM1o3RkxWdmJJYnc/view?usp=sharing","Situacioni")</f>
        <v>Situacioni</v>
      </c>
    </row>
    <row r="90" spans="1:15" ht="89.25" x14ac:dyDescent="0.2">
      <c r="A90" s="4">
        <v>84</v>
      </c>
      <c r="B90" s="5">
        <v>42460</v>
      </c>
      <c r="C90" s="5">
        <v>42572</v>
      </c>
      <c r="D90" s="25" t="s">
        <v>286</v>
      </c>
      <c r="E90" s="25" t="s">
        <v>287</v>
      </c>
      <c r="F90" s="7" t="s">
        <v>288</v>
      </c>
      <c r="G90" s="7" t="s">
        <v>289</v>
      </c>
      <c r="H90" s="33">
        <v>8765.7999999999993</v>
      </c>
      <c r="I90" s="36">
        <v>87406.27</v>
      </c>
      <c r="J90" s="36">
        <v>59283.61</v>
      </c>
      <c r="K90" s="38">
        <f t="shared" si="2"/>
        <v>146689.88</v>
      </c>
      <c r="L90" s="7" t="s">
        <v>290</v>
      </c>
      <c r="M90" s="7" t="s">
        <v>26</v>
      </c>
      <c r="N90" s="11" t="str">
        <f>HYPERLINK("https://drive.google.com/file/d/0Bxf6anvYj47HYUgtMkFVOVk5clE/view?usp=sharing","Leja me nr. 05-351-76099")</f>
        <v>Leja me nr. 05-351-76099</v>
      </c>
      <c r="O90" s="11" t="str">
        <f>HYPERLINK("https://drive.google.com/file/d/0Bxf6anvYj47HQmRfeUtpZWxvVlU/view?usp=sharing","Situacioni")</f>
        <v>Situacioni</v>
      </c>
    </row>
    <row r="91" spans="1:15" ht="25.5" x14ac:dyDescent="0.2">
      <c r="A91" s="4">
        <v>85</v>
      </c>
      <c r="B91" s="5">
        <v>42465</v>
      </c>
      <c r="C91" s="5">
        <v>42570</v>
      </c>
      <c r="D91" s="7" t="s">
        <v>291</v>
      </c>
      <c r="E91" s="7" t="s">
        <v>292</v>
      </c>
      <c r="F91" s="7" t="s">
        <v>293</v>
      </c>
      <c r="G91" s="7" t="s">
        <v>89</v>
      </c>
      <c r="H91" s="33">
        <v>6804.57</v>
      </c>
      <c r="I91" s="36">
        <v>77894.240000000005</v>
      </c>
      <c r="J91" s="36">
        <v>45590.62</v>
      </c>
      <c r="K91" s="38">
        <f t="shared" si="2"/>
        <v>123484.86000000002</v>
      </c>
      <c r="L91" s="7" t="s">
        <v>294</v>
      </c>
      <c r="M91" s="7" t="s">
        <v>26</v>
      </c>
      <c r="N91" s="11" t="str">
        <f>HYPERLINK("https://drive.google.com/file/d/0Bxf6anvYj47HbXNibHhkdHNrV0U/view?usp=sharing","Leja me nr. 05-351-79392")</f>
        <v>Leja me nr. 05-351-79392</v>
      </c>
      <c r="O91" s="11" t="str">
        <f>HYPERLINK("https://drive.google.com/file/d/0Bxf6anvYj47HVk9EMVQ2Zk02dzg/view?usp=sharing","Situacioni")</f>
        <v>Situacioni</v>
      </c>
    </row>
    <row r="92" spans="1:15" ht="38.25" x14ac:dyDescent="0.2">
      <c r="A92" s="4">
        <v>86</v>
      </c>
      <c r="B92" s="5">
        <v>42467</v>
      </c>
      <c r="C92" s="5">
        <v>42569</v>
      </c>
      <c r="D92" s="7" t="s">
        <v>295</v>
      </c>
      <c r="E92" s="7" t="s">
        <v>296</v>
      </c>
      <c r="F92" s="7" t="s">
        <v>297</v>
      </c>
      <c r="G92" s="7" t="s">
        <v>273</v>
      </c>
      <c r="H92" s="33">
        <v>6636.5</v>
      </c>
      <c r="I92" s="36">
        <v>74579.75</v>
      </c>
      <c r="J92" s="36">
        <v>44464.55</v>
      </c>
      <c r="K92" s="38">
        <f t="shared" si="2"/>
        <v>119044.3</v>
      </c>
      <c r="L92" s="7" t="s">
        <v>298</v>
      </c>
      <c r="M92" s="7" t="s">
        <v>26</v>
      </c>
      <c r="N92" s="11" t="str">
        <f>HYPERLINK("https://drive.google.com/file/d/0Bxf6anvYj47HTlA2VWpORFVWWHc/view?usp=sharing","Leja me nr. 05-351-82222")</f>
        <v>Leja me nr. 05-351-82222</v>
      </c>
      <c r="O92" s="11" t="str">
        <f>HYPERLINK("https://drive.google.com/file/d/0Bxf6anvYj47HVzFKV1ZfcHRwT2c/view?usp=sharing","Situacioni")</f>
        <v>Situacioni</v>
      </c>
    </row>
    <row r="93" spans="1:15" ht="15" x14ac:dyDescent="0.2">
      <c r="A93" s="4">
        <v>87</v>
      </c>
      <c r="B93" s="5">
        <v>42475</v>
      </c>
      <c r="C93" s="5">
        <v>42562</v>
      </c>
      <c r="D93" s="7" t="s">
        <v>299</v>
      </c>
      <c r="E93" s="7" t="s">
        <v>299</v>
      </c>
      <c r="F93" s="7" t="s">
        <v>235</v>
      </c>
      <c r="G93" s="7" t="s">
        <v>30</v>
      </c>
      <c r="H93" s="33">
        <v>342.98</v>
      </c>
      <c r="I93" s="36">
        <v>456.16</v>
      </c>
      <c r="J93" s="36">
        <v>2297.9499999999998</v>
      </c>
      <c r="K93" s="38">
        <f t="shared" si="2"/>
        <v>2754.1099999999997</v>
      </c>
      <c r="L93" s="7" t="s">
        <v>170</v>
      </c>
      <c r="M93" s="7" t="s">
        <v>91</v>
      </c>
      <c r="N93" s="11" t="str">
        <f>HYPERLINK("https://drive.google.com/file/d/0Bxf6anvYj47HMzYyeEUyeDBPSWc/view?usp=sharing","Leja me nr. 05-351-88841")</f>
        <v>Leja me nr. 05-351-88841</v>
      </c>
      <c r="O93" s="11" t="str">
        <f>HYPERLINK("https://drive.google.com/file/d/0Bxf6anvYj47HVWNUbnd6UVJFYnM/view?usp=sharing","Situacioni")</f>
        <v>Situacioni</v>
      </c>
    </row>
    <row r="94" spans="1:15" ht="25.5" x14ac:dyDescent="0.2">
      <c r="A94" s="4">
        <v>88</v>
      </c>
      <c r="B94" s="5">
        <v>42474</v>
      </c>
      <c r="C94" s="5">
        <v>42558</v>
      </c>
      <c r="D94" s="7" t="s">
        <v>300</v>
      </c>
      <c r="E94" s="7" t="s">
        <v>300</v>
      </c>
      <c r="F94" s="7" t="s">
        <v>301</v>
      </c>
      <c r="G94" s="7" t="s">
        <v>302</v>
      </c>
      <c r="H94" s="33">
        <v>337.76</v>
      </c>
      <c r="I94" s="36">
        <v>822.79</v>
      </c>
      <c r="J94" s="36">
        <v>2262.79</v>
      </c>
      <c r="K94" s="38">
        <f t="shared" si="2"/>
        <v>3085.58</v>
      </c>
      <c r="L94" s="7" t="s">
        <v>60</v>
      </c>
      <c r="M94" s="7" t="s">
        <v>91</v>
      </c>
      <c r="N94" s="14" t="str">
        <f>HYPERLINK("https://drive.google.com/file/d/0Bxf6anvYj47HNGRmeE9rZ3RxTHM/view?usp=sharing","Leja me nr. 05-351-87231")</f>
        <v>Leja me nr. 05-351-87231</v>
      </c>
      <c r="O94" s="11" t="str">
        <f>HYPERLINK("https://drive.google.com/file/d/0Bxf6anvYj47HVVBTU29FOHFVNzA/view?usp=sharing","Situacioni")</f>
        <v>Situacioni</v>
      </c>
    </row>
    <row r="95" spans="1:15" ht="15" x14ac:dyDescent="0.2">
      <c r="A95" s="4">
        <v>89</v>
      </c>
      <c r="B95" s="5">
        <v>41938</v>
      </c>
      <c r="C95" s="5">
        <v>42558</v>
      </c>
      <c r="D95" s="7" t="s">
        <v>303</v>
      </c>
      <c r="E95" s="7" t="s">
        <v>303</v>
      </c>
      <c r="F95" s="7" t="s">
        <v>304</v>
      </c>
      <c r="G95" s="7" t="s">
        <v>153</v>
      </c>
      <c r="H95" s="33">
        <v>390.85</v>
      </c>
      <c r="I95" s="36">
        <v>2652.9</v>
      </c>
      <c r="J95" s="36">
        <v>2618.69</v>
      </c>
      <c r="K95" s="38">
        <f t="shared" si="2"/>
        <v>5271.59</v>
      </c>
      <c r="L95" s="7" t="s">
        <v>170</v>
      </c>
      <c r="M95" s="7" t="s">
        <v>91</v>
      </c>
      <c r="N95" s="11" t="str">
        <f>HYPERLINK("https://drive.google.com/file/d/0Bxf6anvYj47HT3VsWmNvZllERDQ/view?usp=sharing","Leja me nr. 05-351-246596")</f>
        <v>Leja me nr. 05-351-246596</v>
      </c>
      <c r="O95" s="11" t="str">
        <f>HYPERLINK("https://drive.google.com/file/d/0Bxf6anvYj47HR3FSaFU3RjFhN2c/view?usp=sharing","Situacioni")</f>
        <v>Situacioni</v>
      </c>
    </row>
    <row r="96" spans="1:15" ht="25.5" x14ac:dyDescent="0.2">
      <c r="A96" s="4">
        <v>90</v>
      </c>
      <c r="B96" s="5">
        <v>42507</v>
      </c>
      <c r="C96" s="5">
        <v>42558</v>
      </c>
      <c r="D96" s="7" t="s">
        <v>305</v>
      </c>
      <c r="E96" s="7" t="s">
        <v>305</v>
      </c>
      <c r="F96" s="7" t="s">
        <v>306</v>
      </c>
      <c r="G96" s="7" t="s">
        <v>95</v>
      </c>
      <c r="H96" s="33">
        <v>1426.01</v>
      </c>
      <c r="I96" s="36" t="s">
        <v>117</v>
      </c>
      <c r="J96" s="36" t="s">
        <v>117</v>
      </c>
      <c r="K96" s="38" t="s">
        <v>117</v>
      </c>
      <c r="L96" s="7" t="s">
        <v>19</v>
      </c>
      <c r="M96" s="7" t="s">
        <v>307</v>
      </c>
      <c r="N96" s="14" t="str">
        <f>HYPERLINK("https://drive.google.com/file/d/0Bxf6anvYj47HTkVfMmNmM25GLUk/view?usp=sharing","Leja me nr, 05-351-119022")</f>
        <v>Leja me nr, 05-351-119022</v>
      </c>
      <c r="O96" s="11" t="str">
        <f>HYPERLINK("https://drive.google.com/file/d/0Bxf6anvYj47HRGY0c3AtaDl3SDA/view?usp=sharing","Situacioni")</f>
        <v>Situacioni</v>
      </c>
    </row>
    <row r="97" spans="1:15" ht="15" x14ac:dyDescent="0.2">
      <c r="A97" s="4">
        <v>91</v>
      </c>
      <c r="B97" s="5">
        <v>42520</v>
      </c>
      <c r="C97" s="5">
        <v>42557</v>
      </c>
      <c r="D97" s="7" t="s">
        <v>308</v>
      </c>
      <c r="E97" s="7" t="s">
        <v>308</v>
      </c>
      <c r="F97" s="7" t="s">
        <v>309</v>
      </c>
      <c r="G97" s="7" t="s">
        <v>310</v>
      </c>
      <c r="H97" s="33">
        <v>375.75</v>
      </c>
      <c r="I97" s="36">
        <v>465.18</v>
      </c>
      <c r="J97" s="36">
        <v>585.84</v>
      </c>
      <c r="K97" s="38">
        <f t="shared" si="2"/>
        <v>1051.02</v>
      </c>
      <c r="L97" s="7" t="s">
        <v>53</v>
      </c>
      <c r="M97" s="7" t="s">
        <v>311</v>
      </c>
      <c r="N97" s="11" t="str">
        <f>HYPERLINK("https://drive.google.com/file/d/0Bxf6anvYj47HVXctNVYwcVpHTXM/view?usp=sharing","Leja me nr. 05-351-131222")</f>
        <v>Leja me nr. 05-351-131222</v>
      </c>
      <c r="O97" s="11" t="str">
        <f>HYPERLINK("https://drive.google.com/file/d/0Bxf6anvYj47HV19rNW5OVHZtaFk/view?usp=sharing","Situacioni")</f>
        <v>Situacioni</v>
      </c>
    </row>
    <row r="98" spans="1:15" ht="15" x14ac:dyDescent="0.2">
      <c r="A98" s="4">
        <v>92</v>
      </c>
      <c r="B98" s="26">
        <v>42531</v>
      </c>
      <c r="C98" s="26">
        <v>42551</v>
      </c>
      <c r="D98" s="7" t="s">
        <v>312</v>
      </c>
      <c r="E98" s="7" t="s">
        <v>312</v>
      </c>
      <c r="F98" s="7" t="s">
        <v>313</v>
      </c>
      <c r="G98" s="7" t="s">
        <v>30</v>
      </c>
      <c r="H98" s="33">
        <v>992.85</v>
      </c>
      <c r="I98" s="36">
        <v>5281.96</v>
      </c>
      <c r="J98" s="36">
        <v>6652.1</v>
      </c>
      <c r="K98" s="38">
        <f t="shared" si="2"/>
        <v>11934.060000000001</v>
      </c>
      <c r="L98" s="7" t="s">
        <v>36</v>
      </c>
      <c r="M98" s="7" t="s">
        <v>210</v>
      </c>
      <c r="N98" s="11" t="str">
        <f>HYPERLINK("https://drive.google.com/file/d/0Bxf6anvYj47HZ19ldVI5SFAteXc/view?usp=sharing","Leja me nr. 05-351-144540")</f>
        <v>Leja me nr. 05-351-144540</v>
      </c>
      <c r="O98" s="11" t="str">
        <f>HYPERLINK("https://drive.google.com/file/d/0Bxf6anvYj47HTnV4ZTEyM3pRSmM/view?usp=sharing","Situacioni")</f>
        <v>Situacioni</v>
      </c>
    </row>
    <row r="99" spans="1:15" ht="15" x14ac:dyDescent="0.2">
      <c r="A99" s="4">
        <v>93</v>
      </c>
      <c r="B99" s="5">
        <v>42521</v>
      </c>
      <c r="C99" s="5">
        <v>42549</v>
      </c>
      <c r="D99" s="7" t="s">
        <v>314</v>
      </c>
      <c r="E99" s="7" t="s">
        <v>314</v>
      </c>
      <c r="F99" s="7" t="s">
        <v>315</v>
      </c>
      <c r="G99" s="7" t="s">
        <v>95</v>
      </c>
      <c r="H99" s="33">
        <v>244.42</v>
      </c>
      <c r="I99" s="36">
        <v>650.16</v>
      </c>
      <c r="J99" s="36">
        <v>1637.61</v>
      </c>
      <c r="K99" s="38">
        <f t="shared" si="2"/>
        <v>2287.77</v>
      </c>
      <c r="L99" s="7" t="s">
        <v>19</v>
      </c>
      <c r="M99" s="7" t="s">
        <v>91</v>
      </c>
      <c r="N99" s="11" t="str">
        <f>HYPERLINK("https://drive.google.com/file/d/0Bxf6anvYj47Ha2JrQ0ZDQmRNdjA/view?usp=sharing","Leja me nr. 05-351-132630")</f>
        <v>Leja me nr. 05-351-132630</v>
      </c>
      <c r="O99" s="11" t="str">
        <f>HYPERLINK("https://drive.google.com/file/d/0Bxf6anvYj47HMm5nekNkdlJtaVE/view?usp=sharing","Situacioni")</f>
        <v>Situacioni</v>
      </c>
    </row>
    <row r="100" spans="1:15" ht="25.5" x14ac:dyDescent="0.2">
      <c r="A100" s="4">
        <v>94</v>
      </c>
      <c r="B100" s="5">
        <v>42493</v>
      </c>
      <c r="C100" s="5">
        <v>42549</v>
      </c>
      <c r="D100" s="7" t="s">
        <v>316</v>
      </c>
      <c r="E100" s="7" t="s">
        <v>316</v>
      </c>
      <c r="F100" s="7" t="s">
        <v>317</v>
      </c>
      <c r="G100" s="7" t="s">
        <v>302</v>
      </c>
      <c r="H100" s="33">
        <v>398.7</v>
      </c>
      <c r="I100" s="36">
        <v>5302.71</v>
      </c>
      <c r="J100" s="36">
        <v>2671.29</v>
      </c>
      <c r="K100" s="38">
        <f t="shared" si="2"/>
        <v>7974</v>
      </c>
      <c r="L100" s="7" t="s">
        <v>39</v>
      </c>
      <c r="M100" s="7" t="s">
        <v>91</v>
      </c>
      <c r="N100" s="11" t="str">
        <f>HYPERLINK("https://drive.google.com/file/d/0Bxf6anvYj47HVFY4SktFeW9zZUU/view?usp=sharing","Leja me nr. 05-351-105007")</f>
        <v>Leja me nr. 05-351-105007</v>
      </c>
      <c r="O100" s="11" t="str">
        <f>HYPERLINK("https://drive.google.com/file/d/0Bxf6anvYj47HMVJHZmJQQVZLSUE/view?usp=sharing","Situacioni")</f>
        <v>Situacioni</v>
      </c>
    </row>
    <row r="101" spans="1:15" ht="15" x14ac:dyDescent="0.2">
      <c r="A101" s="4">
        <v>95</v>
      </c>
      <c r="B101" s="5">
        <v>42479</v>
      </c>
      <c r="C101" s="5">
        <v>42549</v>
      </c>
      <c r="D101" s="7" t="s">
        <v>318</v>
      </c>
      <c r="E101" s="7" t="s">
        <v>318</v>
      </c>
      <c r="F101" s="7" t="s">
        <v>319</v>
      </c>
      <c r="G101" s="7" t="s">
        <v>134</v>
      </c>
      <c r="H101" s="33">
        <v>219.5</v>
      </c>
      <c r="I101" s="36">
        <v>291.93</v>
      </c>
      <c r="J101" s="36">
        <v>1470.65</v>
      </c>
      <c r="K101" s="38">
        <f t="shared" si="2"/>
        <v>1762.5800000000002</v>
      </c>
      <c r="L101" s="7" t="s">
        <v>19</v>
      </c>
      <c r="M101" s="7" t="s">
        <v>91</v>
      </c>
      <c r="N101" s="11" t="str">
        <f>HYPERLINK("https://drive.google.com/file/d/0Bxf6anvYj47HbzFEVUlPSTBTVms/view?usp=sharing","Leja me nr. 05-351-91351")</f>
        <v>Leja me nr. 05-351-91351</v>
      </c>
      <c r="O101" s="11" t="str">
        <f>HYPERLINK("https://drive.google.com/file/d/0Bxf6anvYj47Hb0RwTzBsMDZEV1k/view?usp=sharing","Situacioni")</f>
        <v>Situacioni</v>
      </c>
    </row>
    <row r="102" spans="1:15" ht="25.5" x14ac:dyDescent="0.2">
      <c r="A102" s="4">
        <v>96</v>
      </c>
      <c r="B102" s="26">
        <v>42488</v>
      </c>
      <c r="C102" s="26">
        <v>42549</v>
      </c>
      <c r="D102" s="7" t="s">
        <v>320</v>
      </c>
      <c r="E102" s="7" t="s">
        <v>320</v>
      </c>
      <c r="F102" s="7" t="s">
        <v>255</v>
      </c>
      <c r="G102" s="7" t="s">
        <v>321</v>
      </c>
      <c r="H102" s="33">
        <v>12891</v>
      </c>
      <c r="I102" s="36">
        <v>10520.3</v>
      </c>
      <c r="J102" s="36">
        <v>8649.7000000000007</v>
      </c>
      <c r="K102" s="38">
        <f t="shared" si="2"/>
        <v>19170</v>
      </c>
      <c r="L102" s="7" t="s">
        <v>86</v>
      </c>
      <c r="M102" s="7" t="s">
        <v>27</v>
      </c>
      <c r="N102" s="11" t="str">
        <f>HYPERLINK("https://drive.google.com/file/d/0Bxf6anvYj47HaFpUeWIzOEpGckU/view?usp=sharing","Leja me nr. 05-351-229005/1")</f>
        <v>Leja me nr. 05-351-229005/1</v>
      </c>
      <c r="O102" s="11" t="str">
        <f>HYPERLINK("https://drive.google.com/file/d/0Bxf6anvYj47HMVJtWVQ3eXB0dzA/view?usp=sharing","Situacioni")</f>
        <v>Situacioni</v>
      </c>
    </row>
    <row r="103" spans="1:15" ht="15" x14ac:dyDescent="0.2">
      <c r="A103" s="4">
        <v>97</v>
      </c>
      <c r="B103" s="5">
        <v>42500</v>
      </c>
      <c r="C103" s="5">
        <v>42548</v>
      </c>
      <c r="D103" s="7" t="s">
        <v>322</v>
      </c>
      <c r="E103" s="7" t="s">
        <v>322</v>
      </c>
      <c r="F103" s="7" t="s">
        <v>103</v>
      </c>
      <c r="G103" s="7" t="s">
        <v>30</v>
      </c>
      <c r="H103" s="33">
        <v>281.39999999999998</v>
      </c>
      <c r="I103" s="36">
        <v>374.26</v>
      </c>
      <c r="J103" s="36">
        <v>1885.38</v>
      </c>
      <c r="K103" s="38">
        <f t="shared" si="2"/>
        <v>2259.6400000000003</v>
      </c>
      <c r="L103" s="7" t="s">
        <v>170</v>
      </c>
      <c r="M103" s="7" t="s">
        <v>91</v>
      </c>
      <c r="N103" s="11" t="str">
        <f>HYPERLINK("https://drive.google.com/file/d/0Bxf6anvYj47HVms5VmZXN2hnMUk/view?usp=sharing","Leja me nr. 05-351-110572")</f>
        <v>Leja me nr. 05-351-110572</v>
      </c>
      <c r="O103" s="11" t="str">
        <f>HYPERLINK("https://drive.google.com/file/d/0Bxf6anvYj47HclhTZ1FJMWtTRlk/view?usp=sharing","Situacioni")</f>
        <v>Situacioni</v>
      </c>
    </row>
    <row r="104" spans="1:15" ht="25.5" x14ac:dyDescent="0.2">
      <c r="A104" s="4">
        <v>98</v>
      </c>
      <c r="B104" s="5">
        <v>42368</v>
      </c>
      <c r="C104" s="5">
        <v>42548</v>
      </c>
      <c r="D104" s="7" t="s">
        <v>323</v>
      </c>
      <c r="E104" s="7" t="s">
        <v>324</v>
      </c>
      <c r="F104" s="7" t="s">
        <v>325</v>
      </c>
      <c r="G104" s="7" t="s">
        <v>89</v>
      </c>
      <c r="H104" s="33">
        <v>7880.85</v>
      </c>
      <c r="I104" s="36">
        <v>104815.32</v>
      </c>
      <c r="J104" s="36">
        <v>52801.69</v>
      </c>
      <c r="K104" s="38">
        <f t="shared" si="2"/>
        <v>157617.01</v>
      </c>
      <c r="L104" s="7" t="s">
        <v>326</v>
      </c>
      <c r="M104" s="7" t="s">
        <v>26</v>
      </c>
      <c r="N104" s="11" t="str">
        <f>HYPERLINK("https://drive.google.com/file/d/0Bxf6anvYj47HYklvSTdrN0NZQ1U/view?usp=sharing","Leja me nr. 05-351-293356")</f>
        <v>Leja me nr. 05-351-293356</v>
      </c>
      <c r="O104" s="11" t="str">
        <f>HYPERLINK("https://drive.google.com/file/d/0Bxf6anvYj47HSncyclllQWRDT2s/view?usp=sharing","Situacioni")</f>
        <v>Situacioni</v>
      </c>
    </row>
    <row r="105" spans="1:15" ht="38.25" x14ac:dyDescent="0.2">
      <c r="A105" s="4">
        <v>99</v>
      </c>
      <c r="B105" s="5">
        <v>42507</v>
      </c>
      <c r="C105" s="5">
        <v>42545</v>
      </c>
      <c r="D105" s="7" t="s">
        <v>327</v>
      </c>
      <c r="E105" s="25" t="s">
        <v>328</v>
      </c>
      <c r="F105" s="7" t="s">
        <v>329</v>
      </c>
      <c r="G105" s="7" t="s">
        <v>89</v>
      </c>
      <c r="H105" s="33">
        <v>6137.3</v>
      </c>
      <c r="I105" s="36">
        <v>52671.99</v>
      </c>
      <c r="J105" s="36">
        <v>41119.910000000003</v>
      </c>
      <c r="K105" s="38">
        <f t="shared" si="2"/>
        <v>93791.9</v>
      </c>
      <c r="L105" s="7" t="s">
        <v>326</v>
      </c>
      <c r="M105" s="7" t="s">
        <v>26</v>
      </c>
      <c r="N105" s="11" t="str">
        <f>HYPERLINK("https://drive.google.com/file/d/0Bxf6anvYj47HYmVXNlVvekFxdnM/view?usp=sharing","Leja me nr. 05-351-118854")</f>
        <v>Leja me nr. 05-351-118854</v>
      </c>
      <c r="O105" s="11" t="str">
        <f>HYPERLINK("https://drive.google.com/file/d/0Bxf6anvYj47HU1lvdDNwUXpRWm8/view?usp=sharing","Situacioni")</f>
        <v>Situacioni</v>
      </c>
    </row>
    <row r="106" spans="1:15" ht="15" x14ac:dyDescent="0.2">
      <c r="A106" s="4">
        <v>100</v>
      </c>
      <c r="B106" s="5">
        <v>42478</v>
      </c>
      <c r="C106" s="5">
        <v>42543</v>
      </c>
      <c r="D106" s="7" t="s">
        <v>330</v>
      </c>
      <c r="E106" s="7" t="s">
        <v>330</v>
      </c>
      <c r="F106" s="7" t="s">
        <v>331</v>
      </c>
      <c r="G106" s="7" t="s">
        <v>332</v>
      </c>
      <c r="H106" s="33">
        <v>70.040000000000006</v>
      </c>
      <c r="I106" s="36">
        <v>372.62</v>
      </c>
      <c r="J106" s="36">
        <v>469.26</v>
      </c>
      <c r="K106" s="38">
        <f t="shared" si="2"/>
        <v>841.88</v>
      </c>
      <c r="L106" s="7" t="s">
        <v>36</v>
      </c>
      <c r="M106" s="7" t="s">
        <v>210</v>
      </c>
      <c r="N106" s="11" t="str">
        <f>HYPERLINK("https://drive.google.com/file/d/0Bxf6anvYj47HX3NUR3JIU2htMkk/view?usp=sharing","Leja me nr. 05-351-89708")</f>
        <v>Leja me nr. 05-351-89708</v>
      </c>
      <c r="O106" s="11" t="str">
        <f>HYPERLINK("https://drive.google.com/file/d/0Bxf6anvYj47HWi0wUnJtZ2hqRGM/view?usp=sharing","Situacioni")</f>
        <v>Situacioni</v>
      </c>
    </row>
    <row r="107" spans="1:15" ht="15" x14ac:dyDescent="0.2">
      <c r="A107" s="4">
        <v>101</v>
      </c>
      <c r="B107" s="26">
        <v>42474</v>
      </c>
      <c r="C107" s="26">
        <v>42543</v>
      </c>
      <c r="D107" s="7" t="s">
        <v>333</v>
      </c>
      <c r="E107" s="7" t="s">
        <v>333</v>
      </c>
      <c r="F107" s="7" t="s">
        <v>334</v>
      </c>
      <c r="G107" s="7" t="s">
        <v>30</v>
      </c>
      <c r="H107" s="33">
        <v>371.76</v>
      </c>
      <c r="I107" s="36">
        <v>494.44</v>
      </c>
      <c r="J107" s="36">
        <v>2490.79</v>
      </c>
      <c r="K107" s="38">
        <f t="shared" si="2"/>
        <v>2985.23</v>
      </c>
      <c r="L107" s="7" t="s">
        <v>60</v>
      </c>
      <c r="M107" s="7" t="s">
        <v>91</v>
      </c>
      <c r="N107" s="11" t="str">
        <f>HYPERLINK("https://drive.google.com/file/d/0Bxf6anvYj47Ha2V5OTh3Q01kcGM/view?usp=sharing","Leja me nr. 05-351-86926")</f>
        <v>Leja me nr. 05-351-86926</v>
      </c>
      <c r="O107" s="11" t="str">
        <f>HYPERLINK("https://drive.google.com/file/d/0Bxf6anvYj47HWFY5ZXJlTjFpNVU/view?usp=sharing","Situacioni")</f>
        <v>Situacioni</v>
      </c>
    </row>
    <row r="108" spans="1:15" ht="38.25" x14ac:dyDescent="0.2">
      <c r="A108" s="4">
        <v>102</v>
      </c>
      <c r="B108" s="26">
        <v>42467</v>
      </c>
      <c r="C108" s="5">
        <v>42542</v>
      </c>
      <c r="D108" s="7" t="s">
        <v>335</v>
      </c>
      <c r="E108" s="28" t="s">
        <v>336</v>
      </c>
      <c r="F108" s="7" t="s">
        <v>337</v>
      </c>
      <c r="G108" s="7" t="s">
        <v>89</v>
      </c>
      <c r="H108" s="33">
        <v>8519.6</v>
      </c>
      <c r="I108" s="36">
        <v>83522.8</v>
      </c>
      <c r="J108" s="36">
        <v>57081.32</v>
      </c>
      <c r="K108" s="38">
        <f t="shared" si="2"/>
        <v>140604.12</v>
      </c>
      <c r="L108" s="7" t="s">
        <v>338</v>
      </c>
      <c r="M108" s="7" t="s">
        <v>26</v>
      </c>
      <c r="N108" s="11" t="str">
        <f>HYPERLINK("https://drive.google.com/file/d/0Bxf6anvYj47HT0YzX3JxeG1xMFU/view?usp=sharing","Leja me nr. 05-351-82418")</f>
        <v>Leja me nr. 05-351-82418</v>
      </c>
      <c r="O108" s="11" t="str">
        <f>HYPERLINK("https://drive.google.com/file/d/0Bxf6anvYj47HMzUzVmdIZ0Z6ZHc/view?usp=sharing","Situacioni")</f>
        <v>Situacioni</v>
      </c>
    </row>
    <row r="109" spans="1:15" ht="114.75" x14ac:dyDescent="0.2">
      <c r="A109" s="4">
        <v>103</v>
      </c>
      <c r="B109" s="5">
        <v>42285</v>
      </c>
      <c r="C109" s="5">
        <v>42541</v>
      </c>
      <c r="D109" s="25" t="s">
        <v>339</v>
      </c>
      <c r="E109" s="25" t="s">
        <v>339</v>
      </c>
      <c r="F109" s="7" t="s">
        <v>340</v>
      </c>
      <c r="G109" s="7" t="s">
        <v>341</v>
      </c>
      <c r="H109" s="33">
        <v>36189.019999999997</v>
      </c>
      <c r="I109" s="36">
        <v>481313.97</v>
      </c>
      <c r="J109" s="36">
        <v>242466.43</v>
      </c>
      <c r="K109" s="38">
        <f t="shared" si="2"/>
        <v>723780.39999999991</v>
      </c>
      <c r="L109" s="7" t="s">
        <v>342</v>
      </c>
      <c r="M109" s="7" t="s">
        <v>343</v>
      </c>
      <c r="N109" s="27" t="str">
        <f>HYPERLINK("https://drive.google.com/file/d/0Bxf6anvYj47HVWRqWE02cnpFZ3c/view?usp=sharing"," Leja me nr. 05-054-229149")</f>
        <v xml:space="preserve"> Leja me nr. 05-054-229149</v>
      </c>
      <c r="O109" s="11" t="str">
        <f>HYPERLINK("https://drive.google.com/file/d/0Bxf6anvYj47HcmJYdjNTazRDdjg/view?usp=sharing","Situacioni")</f>
        <v>Situacioni</v>
      </c>
    </row>
    <row r="110" spans="1:15" ht="15" x14ac:dyDescent="0.2">
      <c r="A110" s="4">
        <v>104</v>
      </c>
      <c r="B110" s="5">
        <v>42485</v>
      </c>
      <c r="C110" s="5">
        <v>42541</v>
      </c>
      <c r="D110" s="7" t="s">
        <v>344</v>
      </c>
      <c r="E110" s="25" t="s">
        <v>345</v>
      </c>
      <c r="F110" s="7" t="s">
        <v>346</v>
      </c>
      <c r="G110" s="7" t="s">
        <v>84</v>
      </c>
      <c r="H110" s="33">
        <v>6641.47</v>
      </c>
      <c r="I110" s="36">
        <v>46991.56</v>
      </c>
      <c r="J110" s="36">
        <v>44497.85</v>
      </c>
      <c r="K110" s="38">
        <f t="shared" si="2"/>
        <v>91489.41</v>
      </c>
      <c r="L110" s="7" t="s">
        <v>86</v>
      </c>
      <c r="M110" s="7" t="s">
        <v>157</v>
      </c>
      <c r="N110" s="11" t="str">
        <f>HYPERLINK("https://drive.google.com/file/d/0Bxf6anvYj47HTUlueHA4NmJ3UUE/view?usp=sharing","Leja me nr. 05-351-97623")</f>
        <v>Leja me nr. 05-351-97623</v>
      </c>
      <c r="O110" s="11" t="str">
        <f>HYPERLINK("https://drive.google.com/file/d/0Bxf6anvYj47HUF9TbllmeTNDZE0/view?usp=sharing","Situacioni")</f>
        <v>Situacioni</v>
      </c>
    </row>
    <row r="111" spans="1:15" ht="15" x14ac:dyDescent="0.2">
      <c r="A111" s="4">
        <v>105</v>
      </c>
      <c r="B111" s="5">
        <v>42468</v>
      </c>
      <c r="C111" s="5">
        <v>42535</v>
      </c>
      <c r="D111" s="7" t="s">
        <v>347</v>
      </c>
      <c r="E111" s="7" t="s">
        <v>347</v>
      </c>
      <c r="F111" s="7" t="s">
        <v>348</v>
      </c>
      <c r="G111" s="7" t="s">
        <v>349</v>
      </c>
      <c r="H111" s="33">
        <v>215</v>
      </c>
      <c r="I111" s="36">
        <v>571.9</v>
      </c>
      <c r="J111" s="36">
        <v>1440.5</v>
      </c>
      <c r="K111" s="38">
        <f t="shared" si="2"/>
        <v>2012.4</v>
      </c>
      <c r="L111" s="7" t="s">
        <v>60</v>
      </c>
      <c r="M111" s="7" t="s">
        <v>91</v>
      </c>
      <c r="N111" s="11" t="str">
        <f>HYPERLINK("https://drive.google.com/file/d/0Bxf6anvYj47HTm5INlIyVFdqN2M/view?usp=sharing","Leja me nr. 05-351-83245")</f>
        <v>Leja me nr. 05-351-83245</v>
      </c>
      <c r="O111" s="11" t="str">
        <f>HYPERLINK("https://drive.google.com/file/d/0Bxf6anvYj47Hbm43MjVhLUI5M3M/view?usp=sharing","Situacioni")</f>
        <v>Situacioni</v>
      </c>
    </row>
    <row r="112" spans="1:15" ht="25.5" x14ac:dyDescent="0.2">
      <c r="A112" s="4">
        <v>106</v>
      </c>
      <c r="B112" s="5">
        <v>42402</v>
      </c>
      <c r="C112" s="5">
        <v>42529</v>
      </c>
      <c r="D112" s="7" t="s">
        <v>350</v>
      </c>
      <c r="E112" s="28" t="s">
        <v>351</v>
      </c>
      <c r="F112" s="28" t="s">
        <v>351</v>
      </c>
      <c r="G112" s="7" t="s">
        <v>89</v>
      </c>
      <c r="H112" s="33">
        <v>15249.37</v>
      </c>
      <c r="I112" s="36">
        <v>170599.6</v>
      </c>
      <c r="J112" s="36">
        <v>100617.02</v>
      </c>
      <c r="K112" s="38">
        <f t="shared" si="2"/>
        <v>271216.62</v>
      </c>
      <c r="L112" s="7" t="s">
        <v>352</v>
      </c>
      <c r="M112" s="7" t="s">
        <v>353</v>
      </c>
      <c r="N112" s="11" t="str">
        <f>HYPERLINK("https://drive.google.com/file/d/0Bxf6anvYj47HYk1IVzA1UWNHZUE/view?usp=sharing","Leja me nr. 05-351-25657")</f>
        <v>Leja me nr. 05-351-25657</v>
      </c>
      <c r="O112" s="11" t="str">
        <f>HYPERLINK("https://drive.google.com/file/d/0Bxf6anvYj47HbkJuSlFIeWwyc3c/view?usp=sharing","Situacioni")</f>
        <v>Situacioni</v>
      </c>
    </row>
    <row r="113" spans="1:15" ht="38.25" x14ac:dyDescent="0.2">
      <c r="A113" s="4">
        <v>107</v>
      </c>
      <c r="B113" s="5">
        <v>42488</v>
      </c>
      <c r="C113" s="5">
        <v>42529</v>
      </c>
      <c r="D113" s="7" t="s">
        <v>354</v>
      </c>
      <c r="E113" s="28" t="s">
        <v>355</v>
      </c>
      <c r="F113" s="7" t="s">
        <v>356</v>
      </c>
      <c r="G113" s="7" t="s">
        <v>89</v>
      </c>
      <c r="H113" s="33">
        <v>6776</v>
      </c>
      <c r="I113" s="36">
        <v>71333.22</v>
      </c>
      <c r="J113" s="36">
        <v>45399.199999999997</v>
      </c>
      <c r="K113" s="38">
        <f t="shared" si="2"/>
        <v>116732.42</v>
      </c>
      <c r="L113" s="7" t="s">
        <v>357</v>
      </c>
      <c r="M113" s="7" t="s">
        <v>26</v>
      </c>
      <c r="N113" s="11" t="str">
        <f>HYPERLINK("https://drive.google.com/file/d/0Bxf6anvYj47HVlJyemNGRDlfVFE/view?usp=sharing","Leja me nr. 05-351-101687")</f>
        <v>Leja me nr. 05-351-101687</v>
      </c>
      <c r="O113" s="11" t="str">
        <f>HYPERLINK("https://drive.google.com/file/d/0Bxf6anvYj47HWktEYU80VGc5VzA/view?usp=sharing","Situacioni")</f>
        <v>Situacioni</v>
      </c>
    </row>
    <row r="114" spans="1:15" ht="15" x14ac:dyDescent="0.2">
      <c r="A114" s="4">
        <v>108</v>
      </c>
      <c r="B114" s="5">
        <v>42438</v>
      </c>
      <c r="C114" s="5">
        <v>42529</v>
      </c>
      <c r="D114" s="7" t="s">
        <v>358</v>
      </c>
      <c r="E114" s="7" t="s">
        <v>358</v>
      </c>
      <c r="F114" s="7" t="s">
        <v>359</v>
      </c>
      <c r="G114" s="7" t="s">
        <v>84</v>
      </c>
      <c r="H114" s="33">
        <v>441.55</v>
      </c>
      <c r="I114" s="36">
        <v>2349.04</v>
      </c>
      <c r="J114" s="36">
        <v>2958.38</v>
      </c>
      <c r="K114" s="38">
        <f t="shared" si="2"/>
        <v>5307.42</v>
      </c>
      <c r="L114" s="7" t="s">
        <v>36</v>
      </c>
      <c r="M114" s="7" t="s">
        <v>210</v>
      </c>
      <c r="N114" s="11" t="str">
        <f>HYPERLINK("https://drive.google.com/file/d/0Bxf6anvYj47Hdk9sNFBLWGVJU2c/view?usp=sharing","Leja me nr. 05-351-56056")</f>
        <v>Leja me nr. 05-351-56056</v>
      </c>
      <c r="O114" s="11" t="str">
        <f>HYPERLINK("https://drive.google.com/file/d/0Bxf6anvYj47HOFkwRGVYYmtQWHM/view?usp=sharing","Situacioni")</f>
        <v>Situacioni</v>
      </c>
    </row>
    <row r="115" spans="1:15" ht="25.5" x14ac:dyDescent="0.2">
      <c r="A115" s="4">
        <v>109</v>
      </c>
      <c r="B115" s="5">
        <v>42488</v>
      </c>
      <c r="C115" s="5">
        <v>42522</v>
      </c>
      <c r="D115" s="7" t="s">
        <v>360</v>
      </c>
      <c r="E115" s="7" t="s">
        <v>360</v>
      </c>
      <c r="F115" s="7" t="s">
        <v>361</v>
      </c>
      <c r="G115" s="7" t="s">
        <v>30</v>
      </c>
      <c r="H115" s="33">
        <v>178</v>
      </c>
      <c r="I115" s="36">
        <v>236.74</v>
      </c>
      <c r="J115" s="36">
        <v>1192.5999999999999</v>
      </c>
      <c r="K115" s="38">
        <f t="shared" si="2"/>
        <v>1429.34</v>
      </c>
      <c r="L115" s="7" t="s">
        <v>19</v>
      </c>
      <c r="M115" s="7" t="s">
        <v>91</v>
      </c>
      <c r="N115" s="11" t="str">
        <f>HYPERLINK("https://drive.google.com/file/d/0Bxf6anvYj47HUU1fQ1oybjNUSGc/view?usp=sharing","Leja me nr. 05-351-102543")</f>
        <v>Leja me nr. 05-351-102543</v>
      </c>
      <c r="O115" s="11" t="str">
        <f>HYPERLINK("https://drive.google.com/file/d/0Bxf6anvYj47Hd3NFYm1hUHNrUzQ/view?usp=sharing","Situacioni")</f>
        <v>Situacioni</v>
      </c>
    </row>
    <row r="116" spans="1:15" ht="25.5" x14ac:dyDescent="0.2">
      <c r="A116" s="4">
        <v>110</v>
      </c>
      <c r="B116" s="5">
        <v>42468</v>
      </c>
      <c r="C116" s="5">
        <v>42521</v>
      </c>
      <c r="D116" s="7" t="s">
        <v>362</v>
      </c>
      <c r="E116" s="7" t="s">
        <v>362</v>
      </c>
      <c r="F116" s="7" t="s">
        <v>227</v>
      </c>
      <c r="G116" s="7" t="s">
        <v>302</v>
      </c>
      <c r="H116" s="33">
        <v>256</v>
      </c>
      <c r="I116" s="36">
        <v>680.96</v>
      </c>
      <c r="J116" s="36">
        <v>1715.2</v>
      </c>
      <c r="K116" s="38">
        <f t="shared" si="2"/>
        <v>2396.16</v>
      </c>
      <c r="L116" s="7" t="s">
        <v>19</v>
      </c>
      <c r="M116" s="7" t="s">
        <v>91</v>
      </c>
      <c r="N116" s="14" t="str">
        <f>HYPERLINK("https://drive.google.com/file/d/0Bxf6anvYj47HSnlkVHA0cExsa1k/view?usp=sharing","Leja me nr. 05-351-82590")</f>
        <v>Leja me nr. 05-351-82590</v>
      </c>
      <c r="O116" s="11" t="str">
        <f>HYPERLINK("https://drive.google.com/file/d/0Bxf6anvYj47HTXBwcy1PVVJCbGM/view?usp=sharing","Situacioni")</f>
        <v>Situacioni</v>
      </c>
    </row>
    <row r="117" spans="1:15" ht="25.5" x14ac:dyDescent="0.2">
      <c r="A117" s="4">
        <v>111</v>
      </c>
      <c r="B117" s="5">
        <v>42447</v>
      </c>
      <c r="C117" s="5">
        <v>42521</v>
      </c>
      <c r="D117" s="7" t="s">
        <v>363</v>
      </c>
      <c r="E117" s="7" t="s">
        <v>363</v>
      </c>
      <c r="F117" s="7" t="s">
        <v>364</v>
      </c>
      <c r="G117" s="7" t="s">
        <v>52</v>
      </c>
      <c r="H117" s="33">
        <v>173</v>
      </c>
      <c r="I117" s="36">
        <v>920.36</v>
      </c>
      <c r="J117" s="36">
        <v>1159.0999999999999</v>
      </c>
      <c r="K117" s="38">
        <f t="shared" si="2"/>
        <v>2079.46</v>
      </c>
      <c r="L117" s="7" t="s">
        <v>36</v>
      </c>
      <c r="M117" s="7" t="s">
        <v>210</v>
      </c>
      <c r="N117" s="11" t="str">
        <f>HYPERLINK("https://drive.google.com/file/d/0Bxf6anvYj47HUjdzM0J0NFdoTGs/view?usp=sharing","Leja me nr. 05-351-64618")</f>
        <v>Leja me nr. 05-351-64618</v>
      </c>
      <c r="O117" s="11" t="str">
        <f>HYPERLINK("https://drive.google.com/file/d/0Bxf6anvYj47HNXpqOGdOSURXck0/view?usp=sharing","Situacioni")</f>
        <v>Situacioni</v>
      </c>
    </row>
    <row r="118" spans="1:15" ht="25.5" x14ac:dyDescent="0.2">
      <c r="A118" s="4">
        <v>112</v>
      </c>
      <c r="B118" s="5">
        <v>42446</v>
      </c>
      <c r="C118" s="5">
        <v>42517</v>
      </c>
      <c r="D118" s="7" t="s">
        <v>365</v>
      </c>
      <c r="E118" s="7" t="s">
        <v>365</v>
      </c>
      <c r="F118" s="7" t="s">
        <v>366</v>
      </c>
      <c r="G118" s="7" t="s">
        <v>302</v>
      </c>
      <c r="H118" s="33">
        <v>8229</v>
      </c>
      <c r="I118" s="36">
        <v>3790.5</v>
      </c>
      <c r="J118" s="36">
        <v>55134.3</v>
      </c>
      <c r="K118" s="38">
        <f t="shared" si="2"/>
        <v>58924.800000000003</v>
      </c>
      <c r="L118" s="7" t="s">
        <v>367</v>
      </c>
      <c r="M118" s="7" t="s">
        <v>368</v>
      </c>
      <c r="N118" s="11" t="str">
        <f>HYPERLINK("https://drive.google.com/file/d/0Bxf6anvYj47HdEVfSkwwNHFjWTg/view?usp=sharing","Leja me nr. 05-351-63795")</f>
        <v>Leja me nr. 05-351-63795</v>
      </c>
      <c r="O118" s="11" t="str">
        <f>HYPERLINK("https://drive.google.com/file/d/0Bxf6anvYj47HYVdueVlrVThDeVE/view?usp=sharing","Situacioni")</f>
        <v>Situacioni</v>
      </c>
    </row>
    <row r="119" spans="1:15" ht="15" x14ac:dyDescent="0.2">
      <c r="A119" s="4">
        <v>113</v>
      </c>
      <c r="B119" s="5">
        <v>42507</v>
      </c>
      <c r="C119" s="5">
        <v>42517</v>
      </c>
      <c r="D119" s="7" t="s">
        <v>369</v>
      </c>
      <c r="E119" s="7" t="s">
        <v>369</v>
      </c>
      <c r="F119" s="7" t="s">
        <v>356</v>
      </c>
      <c r="G119" s="7" t="s">
        <v>101</v>
      </c>
      <c r="H119" s="33">
        <v>91.13</v>
      </c>
      <c r="I119" s="36">
        <v>242.41</v>
      </c>
      <c r="J119" s="36">
        <v>610.57000000000005</v>
      </c>
      <c r="K119" s="38">
        <f t="shared" si="2"/>
        <v>852.98</v>
      </c>
      <c r="L119" s="7" t="s">
        <v>256</v>
      </c>
      <c r="M119" s="7" t="s">
        <v>91</v>
      </c>
      <c r="N119" s="11" t="str">
        <f>HYPERLINK("https://drive.google.com/file/d/0Bxf6anvYj47HUjM5N2dqYXJwcFU/view?usp=sharing","Leja me nr. 05-351-117858")</f>
        <v>Leja me nr. 05-351-117858</v>
      </c>
      <c r="O119" s="11" t="str">
        <f>HYPERLINK("https://drive.google.com/file/d/0Bxf6anvYj47HdGpiQlF2SjhqNkk/view?usp=sharing","Situacioni")</f>
        <v>Situacioni</v>
      </c>
    </row>
    <row r="120" spans="1:15" ht="25.5" x14ac:dyDescent="0.2">
      <c r="A120" s="4">
        <v>114</v>
      </c>
      <c r="B120" s="5">
        <v>42426</v>
      </c>
      <c r="C120" s="5">
        <v>42513</v>
      </c>
      <c r="D120" s="7" t="s">
        <v>370</v>
      </c>
      <c r="E120" s="7" t="s">
        <v>370</v>
      </c>
      <c r="F120" s="7" t="s">
        <v>371</v>
      </c>
      <c r="G120" s="7" t="s">
        <v>134</v>
      </c>
      <c r="H120" s="33">
        <v>450.57</v>
      </c>
      <c r="I120" s="36">
        <v>515.95000000000005</v>
      </c>
      <c r="J120" s="36">
        <v>3018.8</v>
      </c>
      <c r="K120" s="38">
        <f t="shared" si="2"/>
        <v>3534.75</v>
      </c>
      <c r="L120" s="7" t="s">
        <v>60</v>
      </c>
      <c r="M120" s="7" t="s">
        <v>91</v>
      </c>
      <c r="N120" s="11" t="str">
        <f>HYPERLINK("https://drive.google.com/file/d/0Bxf6anvYj47HRGRBYUo0UnVhaHM/view?usp=sharing","Leja me nr. 05-351-241301/2")</f>
        <v>Leja me nr. 05-351-241301/2</v>
      </c>
      <c r="O120" s="11" t="str">
        <f>HYPERLINK("https://drive.google.com/file/d/0Bxf6anvYj47HR1BkVmk4RFJYcEE/view?usp=sharing","Situacioni")</f>
        <v>Situacioni</v>
      </c>
    </row>
    <row r="121" spans="1:15" ht="25.5" x14ac:dyDescent="0.2">
      <c r="A121" s="4">
        <v>115</v>
      </c>
      <c r="B121" s="26">
        <v>42472</v>
      </c>
      <c r="C121" s="26">
        <v>42507</v>
      </c>
      <c r="D121" s="7" t="s">
        <v>372</v>
      </c>
      <c r="E121" s="7" t="s">
        <v>372</v>
      </c>
      <c r="F121" s="7" t="s">
        <v>373</v>
      </c>
      <c r="G121" s="7" t="s">
        <v>30</v>
      </c>
      <c r="H121" s="33">
        <v>253.33</v>
      </c>
      <c r="I121" s="36">
        <v>336.93</v>
      </c>
      <c r="J121" s="36">
        <v>1697.31</v>
      </c>
      <c r="K121" s="38">
        <f t="shared" si="2"/>
        <v>2034.24</v>
      </c>
      <c r="L121" s="7" t="s">
        <v>60</v>
      </c>
      <c r="M121" s="7" t="s">
        <v>91</v>
      </c>
      <c r="N121" s="11" t="str">
        <f>HYPERLINK("https://drive.google.com/file/d/0Bxf6anvYj47HTlBzbWdMcnB3Qm8/view?usp=sharing","Leja me nr. 05-351-83734")</f>
        <v>Leja me nr. 05-351-83734</v>
      </c>
      <c r="O121" s="11" t="str">
        <f>HYPERLINK("https://drive.google.com/file/d/0Bxf6anvYj47HNlBvTVI1dmVDQkE/view?usp=sharing","Situacioni")</f>
        <v>Situacioni</v>
      </c>
    </row>
    <row r="122" spans="1:15" ht="15" x14ac:dyDescent="0.2">
      <c r="A122" s="4">
        <v>116</v>
      </c>
      <c r="B122" s="26">
        <v>42366</v>
      </c>
      <c r="C122" s="26">
        <v>42506</v>
      </c>
      <c r="D122" s="7" t="s">
        <v>374</v>
      </c>
      <c r="E122" s="7" t="s">
        <v>374</v>
      </c>
      <c r="F122" s="7" t="s">
        <v>375</v>
      </c>
      <c r="G122" s="7" t="s">
        <v>376</v>
      </c>
      <c r="H122" s="33">
        <v>153.43</v>
      </c>
      <c r="I122" s="36">
        <v>408.12</v>
      </c>
      <c r="J122" s="36">
        <v>1027.98</v>
      </c>
      <c r="K122" s="38">
        <f t="shared" si="2"/>
        <v>1436.1</v>
      </c>
      <c r="L122" s="7" t="s">
        <v>19</v>
      </c>
      <c r="M122" s="7" t="s">
        <v>91</v>
      </c>
      <c r="N122" s="11" t="str">
        <f>HYPERLINK("https://drive.google.com/file/d/0Bxf6anvYj47HM1pHdUlyLVBxcmM/view?usp=sharing","Leja me nr. 05-351-291000")</f>
        <v>Leja me nr. 05-351-291000</v>
      </c>
      <c r="O122" s="11" t="str">
        <f>HYPERLINK("https://drive.google.com/file/d/0Bxf6anvYj47HZnJETkU2bGtaYkU/view?usp=sharing","Situacioni")</f>
        <v>Situacioni</v>
      </c>
    </row>
    <row r="123" spans="1:15" ht="25.5" x14ac:dyDescent="0.2">
      <c r="A123" s="4">
        <v>117</v>
      </c>
      <c r="B123" s="26">
        <v>42467</v>
      </c>
      <c r="C123" s="26">
        <v>42506</v>
      </c>
      <c r="D123" s="7" t="s">
        <v>377</v>
      </c>
      <c r="E123" s="7" t="s">
        <v>377</v>
      </c>
      <c r="F123" s="7" t="s">
        <v>378</v>
      </c>
      <c r="G123" s="7" t="s">
        <v>379</v>
      </c>
      <c r="H123" s="33">
        <v>349.28</v>
      </c>
      <c r="I123" s="36">
        <v>930.2</v>
      </c>
      <c r="J123" s="36">
        <v>2342.9899999999998</v>
      </c>
      <c r="K123" s="38">
        <f t="shared" si="2"/>
        <v>3273.1899999999996</v>
      </c>
      <c r="L123" s="7" t="s">
        <v>380</v>
      </c>
      <c r="M123" s="7" t="s">
        <v>91</v>
      </c>
      <c r="N123" s="11" t="str">
        <f>HYPERLINK("https://drive.google.com/file/d/0Bxf6anvYj47HZnlfSlRPMS16cjQ/view?usp=sharing","Leja me nr. 05-351-82046")</f>
        <v>Leja me nr. 05-351-82046</v>
      </c>
      <c r="O123" s="11" t="str">
        <f>HYPERLINK("https://drive.google.com/file/d/0Bxf6anvYj47HWS1JT0l6N2pTMlU/view?usp=sharing","Situacioni")</f>
        <v>Situacioni</v>
      </c>
    </row>
    <row r="124" spans="1:15" ht="25.5" x14ac:dyDescent="0.2">
      <c r="A124" s="4">
        <v>118</v>
      </c>
      <c r="B124" s="26">
        <v>42438</v>
      </c>
      <c r="C124" s="26">
        <v>42500</v>
      </c>
      <c r="D124" s="7" t="s">
        <v>381</v>
      </c>
      <c r="E124" s="25" t="s">
        <v>382</v>
      </c>
      <c r="F124" s="7" t="s">
        <v>383</v>
      </c>
      <c r="G124" s="7" t="s">
        <v>89</v>
      </c>
      <c r="H124" s="33">
        <v>6206.58</v>
      </c>
      <c r="I124" s="36">
        <v>82547.509999999995</v>
      </c>
      <c r="J124" s="36">
        <v>41584.089999999997</v>
      </c>
      <c r="K124" s="38">
        <f t="shared" si="2"/>
        <v>124131.59999999999</v>
      </c>
      <c r="L124" s="7" t="s">
        <v>384</v>
      </c>
      <c r="M124" s="7" t="s">
        <v>26</v>
      </c>
      <c r="N124" s="11" t="str">
        <f>HYPERLINK("https://drive.google.com/file/d/0Bxf6anvYj47HZ19ibHJYU1JNYjA/view?usp=sharing","Leja me nr. 05-351-234316/4")</f>
        <v>Leja me nr. 05-351-234316/4</v>
      </c>
      <c r="O124" s="11" t="str">
        <f>HYPERLINK("https://drive.google.com/file/d/0Bxf6anvYj47HZ2U0engwUDdVX0E/view?usp=sharing","Situacioni")</f>
        <v>Situacioni</v>
      </c>
    </row>
    <row r="125" spans="1:15" ht="15" x14ac:dyDescent="0.2">
      <c r="A125" s="4">
        <v>119</v>
      </c>
      <c r="B125" s="26">
        <v>42438</v>
      </c>
      <c r="C125" s="26">
        <v>42496</v>
      </c>
      <c r="D125" s="7" t="s">
        <v>385</v>
      </c>
      <c r="E125" s="7" t="s">
        <v>386</v>
      </c>
      <c r="F125" s="7" t="s">
        <v>364</v>
      </c>
      <c r="G125" s="7" t="s">
        <v>30</v>
      </c>
      <c r="H125" s="33">
        <v>113.54</v>
      </c>
      <c r="I125" s="36">
        <v>177.6</v>
      </c>
      <c r="J125" s="36">
        <v>894.71</v>
      </c>
      <c r="K125" s="38">
        <f t="shared" si="2"/>
        <v>1072.31</v>
      </c>
      <c r="L125" s="7" t="s">
        <v>36</v>
      </c>
      <c r="M125" s="7" t="s">
        <v>91</v>
      </c>
      <c r="N125" s="11" t="str">
        <f>HYPERLINK("https://drive.google.com/file/d/0Bxf6anvYj47HRE9XX0NILW5XcVk/view?usp=sharing","Leja me nr. 05-351-56939")</f>
        <v>Leja me nr. 05-351-56939</v>
      </c>
      <c r="O125" s="11" t="str">
        <f>HYPERLINK("https://drive.google.com/file/d/0Bxf6anvYj47HUG9yZHN0dU52bHc/view?usp=sharing","Situacioni")</f>
        <v>Situacioni</v>
      </c>
    </row>
    <row r="126" spans="1:15" ht="15" x14ac:dyDescent="0.2">
      <c r="A126" s="4">
        <v>120</v>
      </c>
      <c r="B126" s="26">
        <v>42375</v>
      </c>
      <c r="C126" s="26">
        <v>42496</v>
      </c>
      <c r="D126" s="7" t="s">
        <v>387</v>
      </c>
      <c r="E126" s="7" t="s">
        <v>387</v>
      </c>
      <c r="F126" s="7" t="s">
        <v>293</v>
      </c>
      <c r="G126" s="7" t="s">
        <v>134</v>
      </c>
      <c r="H126" s="33">
        <v>284.33</v>
      </c>
      <c r="I126" s="36">
        <v>670.77</v>
      </c>
      <c r="J126" s="36">
        <v>1905.01</v>
      </c>
      <c r="K126" s="38">
        <f t="shared" si="2"/>
        <v>2575.7799999999997</v>
      </c>
      <c r="L126" s="7" t="s">
        <v>60</v>
      </c>
      <c r="M126" s="7" t="s">
        <v>91</v>
      </c>
      <c r="N126" s="11" t="str">
        <f>HYPERLINK("https://drive.google.com/file/d/0Bxf6anvYj47HVkRiOGxDNkE3SFE/view?usp=sharing","Leja me nr. 05-351-1829")</f>
        <v>Leja me nr. 05-351-1829</v>
      </c>
      <c r="O126" s="11" t="str">
        <f>HYPERLINK("https://drive.google.com/file/d/0Bxf6anvYj47HVmYxRF81ci1PbGc/view?usp=sharing","Situacioni")</f>
        <v>Situacioni</v>
      </c>
    </row>
    <row r="127" spans="1:15" ht="63.75" x14ac:dyDescent="0.2">
      <c r="A127" s="4">
        <v>121</v>
      </c>
      <c r="B127" s="26">
        <v>42298</v>
      </c>
      <c r="C127" s="26">
        <v>42495</v>
      </c>
      <c r="D127" s="7" t="s">
        <v>388</v>
      </c>
      <c r="E127" s="25" t="s">
        <v>389</v>
      </c>
      <c r="F127" s="7" t="s">
        <v>390</v>
      </c>
      <c r="G127" s="7" t="s">
        <v>89</v>
      </c>
      <c r="H127" s="33">
        <v>7787.95</v>
      </c>
      <c r="I127" s="36">
        <v>88419.6</v>
      </c>
      <c r="J127" s="36">
        <v>52179.27</v>
      </c>
      <c r="K127" s="38">
        <f t="shared" si="2"/>
        <v>140598.87</v>
      </c>
      <c r="L127" s="7" t="s">
        <v>391</v>
      </c>
      <c r="M127" s="7" t="s">
        <v>26</v>
      </c>
      <c r="N127" s="11" t="str">
        <f>HYPERLINK("https://drive.google.com/file/d/0Bxf6anvYj47HdzZjbHh3SkFmMlk/view?usp=sharing","Leja me nr. 05-351-167163")</f>
        <v>Leja me nr. 05-351-167163</v>
      </c>
      <c r="O127" s="11" t="str">
        <f>HYPERLINK("https://drive.google.com/file/d/0Bxf6anvYj47Ham43NjZSZU92Ums/view?usp=sharing","Situacioni")</f>
        <v>Situacioni</v>
      </c>
    </row>
    <row r="128" spans="1:15" ht="15" x14ac:dyDescent="0.2">
      <c r="A128" s="4">
        <v>122</v>
      </c>
      <c r="B128" s="26">
        <v>42411</v>
      </c>
      <c r="C128" s="26">
        <v>42495</v>
      </c>
      <c r="D128" s="7" t="s">
        <v>392</v>
      </c>
      <c r="E128" s="7" t="s">
        <v>392</v>
      </c>
      <c r="F128" s="7" t="s">
        <v>393</v>
      </c>
      <c r="G128" s="7" t="s">
        <v>134</v>
      </c>
      <c r="H128" s="33">
        <v>310.51</v>
      </c>
      <c r="I128" s="36">
        <v>412.98</v>
      </c>
      <c r="J128" s="36">
        <v>2080.41</v>
      </c>
      <c r="K128" s="38">
        <f t="shared" si="2"/>
        <v>2493.39</v>
      </c>
      <c r="L128" s="7" t="s">
        <v>60</v>
      </c>
      <c r="M128" s="7" t="s">
        <v>91</v>
      </c>
      <c r="N128" s="11" t="str">
        <f>HYPERLINK("https://drive.google.com/file/d/0Bxf6anvYj47HNVRxN2UzS1Jtc2M/view?usp=sharing","Leja me nr. 05-351-35073")</f>
        <v>Leja me nr. 05-351-35073</v>
      </c>
      <c r="O128" s="11" t="str">
        <f>HYPERLINK("https://drive.google.com/file/d/0Bxf6anvYj47HUTJIWkxMTnhoWG8/view?usp=sharing","Situacioni")</f>
        <v>Situacioni</v>
      </c>
    </row>
    <row r="129" spans="1:15" ht="25.5" x14ac:dyDescent="0.2">
      <c r="A129" s="4">
        <v>123</v>
      </c>
      <c r="B129" s="26">
        <v>42461</v>
      </c>
      <c r="C129" s="26">
        <v>42495</v>
      </c>
      <c r="D129" s="7" t="s">
        <v>394</v>
      </c>
      <c r="E129" s="7" t="s">
        <v>394</v>
      </c>
      <c r="F129" s="7" t="s">
        <v>395</v>
      </c>
      <c r="G129" s="7" t="s">
        <v>396</v>
      </c>
      <c r="H129" s="33">
        <v>40</v>
      </c>
      <c r="I129" s="36">
        <v>534.66</v>
      </c>
      <c r="J129" s="36">
        <v>269.33999999999997</v>
      </c>
      <c r="K129" s="38">
        <f t="shared" si="2"/>
        <v>804</v>
      </c>
      <c r="L129" s="7" t="s">
        <v>162</v>
      </c>
      <c r="M129" s="7" t="s">
        <v>397</v>
      </c>
      <c r="N129" s="11" t="str">
        <f>HYPERLINK("https://drive.google.com/file/d/0Bxf6anvYj47HS01MTGdocGtZME0/view?usp=sharing","Leja me nr. 05-351-77328")</f>
        <v>Leja me nr. 05-351-77328</v>
      </c>
      <c r="O129" s="11" t="str">
        <f>HYPERLINK("https://drive.google.com/file/d/0Bxf6anvYj47HRnpycFZJd1Y3djA/view?usp=sharing","Situacioni")</f>
        <v>Situacioni</v>
      </c>
    </row>
    <row r="130" spans="1:15" ht="38.25" x14ac:dyDescent="0.2">
      <c r="A130" s="4">
        <v>124</v>
      </c>
      <c r="B130" s="26">
        <v>42215</v>
      </c>
      <c r="C130" s="26">
        <v>42488</v>
      </c>
      <c r="D130" s="7" t="s">
        <v>398</v>
      </c>
      <c r="E130" s="7" t="s">
        <v>399</v>
      </c>
      <c r="F130" s="7" t="s">
        <v>400</v>
      </c>
      <c r="G130" s="7" t="s">
        <v>321</v>
      </c>
      <c r="H130" s="33">
        <v>6296.94</v>
      </c>
      <c r="I130" s="36">
        <v>88074.62</v>
      </c>
      <c r="J130" s="36">
        <v>50899.02</v>
      </c>
      <c r="K130" s="38">
        <f t="shared" si="2"/>
        <v>138973.63999999998</v>
      </c>
      <c r="L130" s="7" t="s">
        <v>401</v>
      </c>
      <c r="M130" s="7" t="s">
        <v>353</v>
      </c>
      <c r="N130" s="14" t="str">
        <f>HYPERLINK("https://drive.google.com/file/d/0Bxf6anvYj47HSWxoM2lHOXRsUTA/view?usp=sharing","Leja me nr. 05-351-169663")</f>
        <v>Leja me nr. 05-351-169663</v>
      </c>
      <c r="O130" s="11" t="str">
        <f>HYPERLINK("https://drive.google.com/file/d/0Bxf6anvYj47HTFZfek14VERJcms/view?usp=sharing","Situacioni")</f>
        <v>Situacioni</v>
      </c>
    </row>
    <row r="131" spans="1:15" ht="15" x14ac:dyDescent="0.2">
      <c r="A131" s="4">
        <v>125</v>
      </c>
      <c r="B131" s="5">
        <v>42460</v>
      </c>
      <c r="C131" s="5">
        <v>42485</v>
      </c>
      <c r="D131" s="7" t="s">
        <v>402</v>
      </c>
      <c r="E131" s="7" t="s">
        <v>402</v>
      </c>
      <c r="F131" s="7" t="s">
        <v>403</v>
      </c>
      <c r="G131" s="7" t="s">
        <v>321</v>
      </c>
      <c r="H131" s="33">
        <v>179.71</v>
      </c>
      <c r="I131" s="36">
        <v>956.05</v>
      </c>
      <c r="J131" s="36">
        <v>1204.05</v>
      </c>
      <c r="K131" s="38">
        <f t="shared" si="2"/>
        <v>2160.1</v>
      </c>
      <c r="L131" s="7" t="s">
        <v>36</v>
      </c>
      <c r="M131" s="7" t="s">
        <v>210</v>
      </c>
      <c r="N131" s="11" t="str">
        <f>HYPERLINK("https://drive.google.com/file/d/0Bxf6anvYj47HRGgtRnBDbE9oQXM/view?usp=sharing","Leja me nr. 05-351-170879/2")</f>
        <v>Leja me nr. 05-351-170879/2</v>
      </c>
      <c r="O131" s="11" t="str">
        <f>HYPERLINK("https://drive.google.com/file/d/0Bxf6anvYj47HQmNUTkJoTUcwaXM/view?usp=sharing","Situacioni")</f>
        <v>Situacioni</v>
      </c>
    </row>
    <row r="132" spans="1:15" ht="38.25" x14ac:dyDescent="0.2">
      <c r="A132" s="4">
        <v>126</v>
      </c>
      <c r="B132" s="5">
        <v>42383</v>
      </c>
      <c r="C132" s="5">
        <v>42479</v>
      </c>
      <c r="D132" s="7" t="s">
        <v>404</v>
      </c>
      <c r="E132" s="28" t="s">
        <v>405</v>
      </c>
      <c r="F132" s="7" t="s">
        <v>406</v>
      </c>
      <c r="G132" s="7" t="s">
        <v>302</v>
      </c>
      <c r="H132" s="33">
        <v>17501.09</v>
      </c>
      <c r="I132" s="36">
        <v>184091.15</v>
      </c>
      <c r="J132" s="36">
        <v>117257.3</v>
      </c>
      <c r="K132" s="38">
        <f t="shared" si="2"/>
        <v>301348.45</v>
      </c>
      <c r="L132" s="7" t="s">
        <v>407</v>
      </c>
      <c r="M132" s="7" t="s">
        <v>26</v>
      </c>
      <c r="N132" s="11" t="str">
        <f>HYPERLINK("https://drive.google.com/file/d/0Bxf6anvYj47HYjdHNjJKT3VEcUE/view?usp=sharing","Leja me nr. 05-351-9024")</f>
        <v>Leja me nr. 05-351-9024</v>
      </c>
      <c r="O132" s="11" t="str">
        <f>HYPERLINK("https://drive.google.com/file/d/0Bxf6anvYj47HZDFSamE2b3k2a1E/view?usp=sharing","Situacioni")</f>
        <v>Situacioni</v>
      </c>
    </row>
    <row r="133" spans="1:15" ht="25.5" x14ac:dyDescent="0.2">
      <c r="A133" s="4">
        <v>127</v>
      </c>
      <c r="B133" s="5">
        <v>42408</v>
      </c>
      <c r="C133" s="5">
        <v>42475</v>
      </c>
      <c r="D133" s="7" t="s">
        <v>408</v>
      </c>
      <c r="E133" s="28" t="s">
        <v>409</v>
      </c>
      <c r="F133" s="7" t="s">
        <v>80</v>
      </c>
      <c r="G133" s="7" t="s">
        <v>410</v>
      </c>
      <c r="H133" s="33">
        <v>5581.7</v>
      </c>
      <c r="I133" s="36">
        <v>63044.66</v>
      </c>
      <c r="J133" s="36">
        <v>36220.199999999997</v>
      </c>
      <c r="K133" s="38">
        <f t="shared" si="2"/>
        <v>99264.86</v>
      </c>
      <c r="L133" s="7" t="s">
        <v>411</v>
      </c>
      <c r="M133" s="7" t="s">
        <v>26</v>
      </c>
      <c r="N133" s="11" t="str">
        <f>HYPERLINK("https://drive.google.com/file/d/0Bxf6anvYj47HRllCemduR0ZoNzQ/view?usp=sharing","Leja me nr. 05-351-271143/3")</f>
        <v>Leja me nr. 05-351-271143/3</v>
      </c>
      <c r="O133" s="11" t="str">
        <f>HYPERLINK("https://drive.google.com/file/d/0Bxf6anvYj47HTC1PZFlKZ2VDWDA/view?usp=sharing","Situacioni")</f>
        <v>Situacioni</v>
      </c>
    </row>
    <row r="134" spans="1:15" ht="25.5" x14ac:dyDescent="0.2">
      <c r="A134" s="4">
        <v>128</v>
      </c>
      <c r="B134" s="5">
        <v>42326</v>
      </c>
      <c r="C134" s="5">
        <v>42474</v>
      </c>
      <c r="D134" s="7" t="s">
        <v>412</v>
      </c>
      <c r="E134" s="28" t="s">
        <v>119</v>
      </c>
      <c r="F134" s="7" t="s">
        <v>413</v>
      </c>
      <c r="G134" s="7" t="s">
        <v>321</v>
      </c>
      <c r="H134" s="33">
        <v>4648.6499999999996</v>
      </c>
      <c r="I134" s="36">
        <v>45278.12</v>
      </c>
      <c r="J134" s="36">
        <v>31145.96</v>
      </c>
      <c r="K134" s="38">
        <f t="shared" si="2"/>
        <v>76424.08</v>
      </c>
      <c r="L134" s="7" t="s">
        <v>414</v>
      </c>
      <c r="M134" s="7" t="s">
        <v>26</v>
      </c>
      <c r="N134" s="11" t="str">
        <f>HYPERLINK("https://drive.google.com/file/d/0Bxf6anvYj47HX0xXbjNYOHo3dVU/view?usp=sharing","Leja me nr. 05-351-262399")</f>
        <v>Leja me nr. 05-351-262399</v>
      </c>
      <c r="O134" s="11" t="str">
        <f>HYPERLINK("https://drive.google.com/file/d/0Bxf6anvYj47HblFYTHhfRWxBdjA/view?usp=sharing","Situacioni")</f>
        <v>Situacioni</v>
      </c>
    </row>
    <row r="135" spans="1:15" ht="38.25" x14ac:dyDescent="0.2">
      <c r="A135" s="4">
        <v>129</v>
      </c>
      <c r="B135" s="5">
        <v>42422</v>
      </c>
      <c r="C135" s="5">
        <v>42472</v>
      </c>
      <c r="D135" s="7" t="s">
        <v>415</v>
      </c>
      <c r="E135" s="7" t="s">
        <v>415</v>
      </c>
      <c r="F135" s="7" t="s">
        <v>120</v>
      </c>
      <c r="G135" s="7" t="s">
        <v>92</v>
      </c>
      <c r="H135" s="33">
        <v>81.48</v>
      </c>
      <c r="I135" s="36">
        <v>1083.68</v>
      </c>
      <c r="J135" s="36">
        <v>545.91</v>
      </c>
      <c r="K135" s="38">
        <f t="shared" si="2"/>
        <v>1629.5900000000001</v>
      </c>
      <c r="L135" s="7" t="s">
        <v>416</v>
      </c>
      <c r="M135" s="17" t="s">
        <v>107</v>
      </c>
      <c r="N135" s="11" t="str">
        <f>HYPERLINK("https://drive.google.com/file/d/0Bxf6anvYj47HY3lLVFlTckFIV3M/view?usp=sharing","Leja me nr. 05-351-42008")</f>
        <v>Leja me nr. 05-351-42008</v>
      </c>
      <c r="O135" s="11" t="str">
        <f>HYPERLINK("https://drive.google.com/file/d/0Bxf6anvYj47HN0t6Q3V4Q042SUk/view?usp=sharing","Situacioni")</f>
        <v>Situacioni</v>
      </c>
    </row>
    <row r="136" spans="1:15" ht="25.5" x14ac:dyDescent="0.2">
      <c r="A136" s="4">
        <v>130</v>
      </c>
      <c r="B136" s="5">
        <v>42236</v>
      </c>
      <c r="C136" s="5">
        <v>42472</v>
      </c>
      <c r="D136" s="7" t="s">
        <v>417</v>
      </c>
      <c r="E136" s="7" t="s">
        <v>418</v>
      </c>
      <c r="F136" s="7" t="s">
        <v>356</v>
      </c>
      <c r="G136" s="7" t="s">
        <v>302</v>
      </c>
      <c r="H136" s="33">
        <v>3555.8</v>
      </c>
      <c r="I136" s="36">
        <v>34524.14</v>
      </c>
      <c r="J136" s="36">
        <v>23823.86</v>
      </c>
      <c r="K136" s="38">
        <f t="shared" si="2"/>
        <v>58348</v>
      </c>
      <c r="L136" s="7" t="s">
        <v>174</v>
      </c>
      <c r="M136" s="7" t="s">
        <v>311</v>
      </c>
      <c r="N136" s="14" t="str">
        <f>HYPERLINK("https://drive.google.com/file/d/0Bxf6anvYj47HY0I1Qm1NaGtIM3M/view?usp=sharing","Leja me nr. 05-351-188964")</f>
        <v>Leja me nr. 05-351-188964</v>
      </c>
      <c r="O136" s="11" t="str">
        <f>HYPERLINK("https://drive.google.com/file/d/0Bxf6anvYj47Hak00aTFIWXlseGc/view?usp=sharing","Situacioni")</f>
        <v>Situacioni</v>
      </c>
    </row>
    <row r="137" spans="1:15" ht="15" x14ac:dyDescent="0.2">
      <c r="A137" s="4">
        <v>131</v>
      </c>
      <c r="B137" s="5">
        <v>42432</v>
      </c>
      <c r="C137" s="5">
        <v>42468</v>
      </c>
      <c r="D137" s="7" t="s">
        <v>419</v>
      </c>
      <c r="E137" s="7" t="s">
        <v>419</v>
      </c>
      <c r="F137" s="7" t="s">
        <v>235</v>
      </c>
      <c r="G137" s="7" t="s">
        <v>101</v>
      </c>
      <c r="H137" s="33">
        <v>292.54000000000002</v>
      </c>
      <c r="I137" s="36" t="s">
        <v>117</v>
      </c>
      <c r="J137" s="36" t="s">
        <v>117</v>
      </c>
      <c r="K137" s="38" t="s">
        <v>117</v>
      </c>
      <c r="L137" s="7" t="s">
        <v>105</v>
      </c>
      <c r="M137" s="7" t="s">
        <v>91</v>
      </c>
      <c r="N137" s="14" t="str">
        <f>HYPERLINK("https://drive.google.com/file/d/0Bxf6anvYj47HX1FCTHY3NUhYdUE/view?usp=sharing","Leja me nr. 05-351-51698")</f>
        <v>Leja me nr. 05-351-51698</v>
      </c>
      <c r="O137" s="11" t="str">
        <f>HYPERLINK("https://drive.google.com/file/d/0Bxf6anvYj47HVEVFazc1OTVvV3c/view?usp=sharing","Situacioni")</f>
        <v>Situacioni</v>
      </c>
    </row>
    <row r="138" spans="1:15" ht="15" x14ac:dyDescent="0.2">
      <c r="A138" s="4">
        <v>132</v>
      </c>
      <c r="B138" s="5">
        <v>42410</v>
      </c>
      <c r="C138" s="5">
        <v>42466</v>
      </c>
      <c r="D138" s="7" t="s">
        <v>420</v>
      </c>
      <c r="E138" s="7" t="s">
        <v>420</v>
      </c>
      <c r="F138" s="7" t="s">
        <v>421</v>
      </c>
      <c r="G138" s="7" t="s">
        <v>30</v>
      </c>
      <c r="H138" s="33">
        <v>349.9</v>
      </c>
      <c r="I138" s="36">
        <v>424.13</v>
      </c>
      <c r="J138" s="36">
        <v>2344.33</v>
      </c>
      <c r="K138" s="38">
        <f t="shared" si="2"/>
        <v>2768.46</v>
      </c>
      <c r="L138" s="7" t="s">
        <v>60</v>
      </c>
      <c r="M138" s="7" t="s">
        <v>91</v>
      </c>
      <c r="N138" s="11" t="str">
        <f>HYPERLINK("https://drive.google.com/file/d/0Bxf6anvYj47HNkNPcy1KT3dSTDg/view?usp=sharing","Leja me nr. 05-351-34596")</f>
        <v>Leja me nr. 05-351-34596</v>
      </c>
      <c r="O138" s="11" t="str">
        <f>HYPERLINK("https://drive.google.com/file/d/0Bxf6anvYj47HYW5VUFNFaTVid1E/view?usp=sharing","Situacioni")</f>
        <v>Situacioni</v>
      </c>
    </row>
    <row r="139" spans="1:15" ht="38.25" x14ac:dyDescent="0.2">
      <c r="A139" s="4">
        <v>133</v>
      </c>
      <c r="B139" s="5">
        <v>42425</v>
      </c>
      <c r="C139" s="5">
        <v>42466</v>
      </c>
      <c r="D139" s="7" t="s">
        <v>422</v>
      </c>
      <c r="E139" s="7" t="s">
        <v>423</v>
      </c>
      <c r="F139" s="7" t="s">
        <v>424</v>
      </c>
      <c r="G139" s="7" t="s">
        <v>425</v>
      </c>
      <c r="H139" s="33">
        <v>215.2</v>
      </c>
      <c r="I139" s="36" t="s">
        <v>117</v>
      </c>
      <c r="J139" s="38" t="s">
        <v>117</v>
      </c>
      <c r="K139" s="38" t="s">
        <v>117</v>
      </c>
      <c r="L139" s="7" t="s">
        <v>426</v>
      </c>
      <c r="M139" s="7" t="s">
        <v>427</v>
      </c>
      <c r="N139" s="11" t="str">
        <f>HYPERLINK("https://drive.google.com/file/d/0Bxf6anvYj47HSGhnaTRTLVlaY3M/view?usp=sharing","Leja me nr. 05-351-261022/1")</f>
        <v>Leja me nr. 05-351-261022/1</v>
      </c>
      <c r="O139" s="11" t="str">
        <f>HYPERLINK("https://drive.google.com/file/d/0Bxf6anvYj47HcnNqam1xWVI2bUU/view?usp=sharing","Situacioni")</f>
        <v>Situacioni</v>
      </c>
    </row>
    <row r="140" spans="1:15" ht="25.5" x14ac:dyDescent="0.2">
      <c r="A140" s="4">
        <v>134</v>
      </c>
      <c r="B140" s="5">
        <v>42451</v>
      </c>
      <c r="C140" s="5">
        <v>42464</v>
      </c>
      <c r="D140" s="7" t="s">
        <v>428</v>
      </c>
      <c r="E140" s="7" t="s">
        <v>428</v>
      </c>
      <c r="F140" s="7" t="s">
        <v>429</v>
      </c>
      <c r="G140" s="7" t="s">
        <v>321</v>
      </c>
      <c r="H140" s="33">
        <v>324.32</v>
      </c>
      <c r="I140" s="36">
        <v>862.69</v>
      </c>
      <c r="J140" s="36">
        <v>2172.94</v>
      </c>
      <c r="K140" s="38">
        <f t="shared" si="2"/>
        <v>3035.63</v>
      </c>
      <c r="L140" s="7" t="s">
        <v>19</v>
      </c>
      <c r="M140" s="7" t="s">
        <v>91</v>
      </c>
      <c r="N140" s="11" t="str">
        <f>HYPERLINK("https://drive.google.com/file/d/0Bxf6anvYj47HZnRocUl1MFZPSkk/view?usp=sharing","Leja me nr. 05-351-67613")</f>
        <v>Leja me nr. 05-351-67613</v>
      </c>
      <c r="O140" s="11" t="str">
        <f>HYPERLINK("https://drive.google.com/file/d/0Bxf6anvYj47HRjlWUktYSDFWNmM/view?usp=sharing","Situacioni")</f>
        <v>Situacioni</v>
      </c>
    </row>
    <row r="141" spans="1:15" ht="25.5" x14ac:dyDescent="0.2">
      <c r="A141" s="4">
        <v>135</v>
      </c>
      <c r="B141" s="5">
        <v>42410</v>
      </c>
      <c r="C141" s="5">
        <v>42464</v>
      </c>
      <c r="D141" s="7" t="s">
        <v>430</v>
      </c>
      <c r="E141" s="7" t="s">
        <v>430</v>
      </c>
      <c r="F141" s="7" t="s">
        <v>431</v>
      </c>
      <c r="G141" s="7" t="s">
        <v>52</v>
      </c>
      <c r="H141" s="33">
        <v>433.45</v>
      </c>
      <c r="I141" s="36">
        <v>5764.9</v>
      </c>
      <c r="J141" s="36">
        <v>2904.11</v>
      </c>
      <c r="K141" s="38">
        <f t="shared" si="2"/>
        <v>8669.01</v>
      </c>
      <c r="L141" s="7" t="s">
        <v>19</v>
      </c>
      <c r="M141" s="7" t="s">
        <v>91</v>
      </c>
      <c r="N141" s="11" t="str">
        <f>HYPERLINK("https://drive.google.com/file/d/0Bxf6anvYj47HVFRjU2pvUl96N3M/view?usp=sharing","Leja me nr. 05-351-33865")</f>
        <v>Leja me nr. 05-351-33865</v>
      </c>
      <c r="O141" s="11" t="str">
        <f>HYPERLINK("https://drive.google.com/file/d/0Bxf6anvYj47HZ3gzaFVVWktJSEU/view?usp=sharing","Situacioni")</f>
        <v>Situacioni</v>
      </c>
    </row>
    <row r="142" spans="1:15" ht="25.5" x14ac:dyDescent="0.2">
      <c r="A142" s="4">
        <v>136</v>
      </c>
      <c r="B142" s="5">
        <v>42443</v>
      </c>
      <c r="C142" s="5">
        <v>42461</v>
      </c>
      <c r="D142" s="7" t="s">
        <v>432</v>
      </c>
      <c r="E142" s="7" t="s">
        <v>432</v>
      </c>
      <c r="F142" s="7" t="s">
        <v>433</v>
      </c>
      <c r="G142" s="7" t="s">
        <v>302</v>
      </c>
      <c r="H142" s="33">
        <v>327.63</v>
      </c>
      <c r="I142" s="36" t="s">
        <v>117</v>
      </c>
      <c r="J142" s="36" t="s">
        <v>117</v>
      </c>
      <c r="K142" s="38" t="s">
        <v>117</v>
      </c>
      <c r="L142" s="7" t="s">
        <v>60</v>
      </c>
      <c r="M142" s="7" t="s">
        <v>91</v>
      </c>
      <c r="N142" s="11" t="str">
        <f>HYPERLINK("https://drive.google.com/file/d/0Bxf6anvYj47HVnBUYm9Va0RBUFE/view?usp=sharing","Leja me nr. 05-351-59436")</f>
        <v>Leja me nr. 05-351-59436</v>
      </c>
      <c r="O142" s="11" t="str">
        <f>HYPERLINK("https://drive.google.com/file/d/0Bxf6anvYj47HaWxiM1VfTUc0bDg/view?usp=sharing","Situacioni")</f>
        <v>Situacioni</v>
      </c>
    </row>
    <row r="143" spans="1:15" ht="38.25" x14ac:dyDescent="0.2">
      <c r="A143" s="4">
        <v>137</v>
      </c>
      <c r="B143" s="5">
        <v>42144</v>
      </c>
      <c r="C143" s="5">
        <v>42459</v>
      </c>
      <c r="D143" s="7" t="s">
        <v>434</v>
      </c>
      <c r="E143" s="7" t="s">
        <v>435</v>
      </c>
      <c r="F143" s="7" t="s">
        <v>235</v>
      </c>
      <c r="G143" s="7" t="s">
        <v>89</v>
      </c>
      <c r="H143" s="33">
        <v>5079.28</v>
      </c>
      <c r="I143" s="36">
        <v>58486.35</v>
      </c>
      <c r="J143" s="36">
        <v>34031.17</v>
      </c>
      <c r="K143" s="38">
        <f t="shared" ref="K143:K167" si="3">I143+J143</f>
        <v>92517.51999999999</v>
      </c>
      <c r="L143" s="7" t="s">
        <v>436</v>
      </c>
      <c r="M143" s="7" t="s">
        <v>26</v>
      </c>
      <c r="N143" s="11" t="str">
        <f>HYPERLINK("https://drive.google.com/file/d/0Bxf6anvYj47HaUtVdWdWbzFUcnc/view?usp=sharing","Leja me nr. 05-351-105936")</f>
        <v>Leja me nr. 05-351-105936</v>
      </c>
      <c r="O143" s="11" t="str">
        <f>HYPERLINK("https://drive.google.com/file/d/0Bxf6anvYj47HcGFTS3VUeDc0Y2c/view?usp=sharing","Situacioni")</f>
        <v>Situacioni</v>
      </c>
    </row>
    <row r="144" spans="1:15" ht="38.25" x14ac:dyDescent="0.2">
      <c r="A144" s="4">
        <v>138</v>
      </c>
      <c r="B144" s="5">
        <v>42144</v>
      </c>
      <c r="C144" s="5">
        <v>42459</v>
      </c>
      <c r="D144" s="7" t="s">
        <v>434</v>
      </c>
      <c r="E144" s="7" t="s">
        <v>435</v>
      </c>
      <c r="F144" s="7" t="s">
        <v>235</v>
      </c>
      <c r="G144" s="7" t="s">
        <v>89</v>
      </c>
      <c r="H144" s="33">
        <v>6269.44</v>
      </c>
      <c r="I144" s="36">
        <v>66742.59</v>
      </c>
      <c r="J144" s="36">
        <v>42005.24</v>
      </c>
      <c r="K144" s="38">
        <f t="shared" si="3"/>
        <v>108747.82999999999</v>
      </c>
      <c r="L144" s="7" t="s">
        <v>437</v>
      </c>
      <c r="M144" s="7" t="s">
        <v>26</v>
      </c>
      <c r="N144" s="11" t="str">
        <f>HYPERLINK("https://drive.google.com/file/d/0Bxf6anvYj47HLUsyeVg4YmRhQlU/view?usp=sharing","Leja me nr. 05-351-105908")</f>
        <v>Leja me nr. 05-351-105908</v>
      </c>
      <c r="O144" s="11" t="str">
        <f>HYPERLINK("https://drive.google.com/file/d/0Bxf6anvYj47HQVJpUWM2eHVTX2M/view?usp=sharing","Situacioni")</f>
        <v>Situacioni</v>
      </c>
    </row>
    <row r="145" spans="1:15" ht="51" x14ac:dyDescent="0.2">
      <c r="A145" s="4">
        <v>139</v>
      </c>
      <c r="B145" s="5">
        <v>42398</v>
      </c>
      <c r="C145" s="5">
        <v>42459</v>
      </c>
      <c r="D145" s="7" t="s">
        <v>438</v>
      </c>
      <c r="E145" s="13" t="s">
        <v>439</v>
      </c>
      <c r="F145" s="7" t="s">
        <v>440</v>
      </c>
      <c r="G145" s="7" t="s">
        <v>169</v>
      </c>
      <c r="H145" s="33">
        <v>10545.21</v>
      </c>
      <c r="I145" s="36">
        <v>108278.76</v>
      </c>
      <c r="J145" s="36">
        <v>70652.91</v>
      </c>
      <c r="K145" s="38">
        <f t="shared" si="3"/>
        <v>178931.66999999998</v>
      </c>
      <c r="L145" s="7" t="s">
        <v>441</v>
      </c>
      <c r="M145" s="7" t="s">
        <v>26</v>
      </c>
      <c r="N145" s="11" t="str">
        <f>HYPERLINK("https://drive.google.com/file/d/0Bxf6anvYj47HdW1RTGNfLVE1ak0/view?usp=sharing","Leja me nr. 05-351-23071")</f>
        <v>Leja me nr. 05-351-23071</v>
      </c>
      <c r="O145" s="11" t="str">
        <f>HYPERLINK("https://drive.google.com/file/d/0Bxf6anvYj47HTkFRMHJ2eHZBek0/view?usp=sharing","Situacioni")</f>
        <v>Situacioni</v>
      </c>
    </row>
    <row r="146" spans="1:15" ht="15" x14ac:dyDescent="0.2">
      <c r="A146" s="4">
        <v>140</v>
      </c>
      <c r="B146" s="5">
        <v>42415</v>
      </c>
      <c r="C146" s="5">
        <v>42453</v>
      </c>
      <c r="D146" s="7" t="s">
        <v>442</v>
      </c>
      <c r="E146" s="7" t="s">
        <v>442</v>
      </c>
      <c r="F146" s="7" t="s">
        <v>443</v>
      </c>
      <c r="G146" s="7" t="s">
        <v>321</v>
      </c>
      <c r="H146" s="33">
        <v>70.3</v>
      </c>
      <c r="I146" s="36">
        <v>186.99</v>
      </c>
      <c r="J146" s="36">
        <v>471.01</v>
      </c>
      <c r="K146" s="38">
        <f t="shared" si="3"/>
        <v>658</v>
      </c>
      <c r="L146" s="7" t="s">
        <v>36</v>
      </c>
      <c r="M146" s="7" t="s">
        <v>91</v>
      </c>
      <c r="N146" s="11" t="str">
        <f>HYPERLINK("https://drive.google.com/file/d/0Bxf6anvYj47HZXZWX1Q3bDV2RFE/view?usp=sharing","Leja me nr. 05-351-38181")</f>
        <v>Leja me nr. 05-351-38181</v>
      </c>
      <c r="O146" s="11" t="str">
        <f>HYPERLINK("https://drive.google.com/file/d/0Bxf6anvYj47HQ2h5Mm9ObGRHNmM/view?usp=sharing","Situacioni")</f>
        <v>Situacioni</v>
      </c>
    </row>
    <row r="147" spans="1:15" ht="89.25" x14ac:dyDescent="0.2">
      <c r="A147" s="4">
        <v>141</v>
      </c>
      <c r="B147" s="5">
        <v>42359</v>
      </c>
      <c r="C147" s="5">
        <v>42452</v>
      </c>
      <c r="D147" s="7" t="s">
        <v>444</v>
      </c>
      <c r="E147" s="13" t="s">
        <v>445</v>
      </c>
      <c r="F147" s="7" t="s">
        <v>112</v>
      </c>
      <c r="G147" s="7" t="s">
        <v>89</v>
      </c>
      <c r="H147" s="33">
        <v>6962.87</v>
      </c>
      <c r="I147" s="36">
        <v>82083.210000000006</v>
      </c>
      <c r="J147" s="36">
        <v>46651.22</v>
      </c>
      <c r="K147" s="38">
        <f t="shared" si="3"/>
        <v>128734.43000000001</v>
      </c>
      <c r="L147" s="7" t="s">
        <v>446</v>
      </c>
      <c r="M147" s="7" t="s">
        <v>26</v>
      </c>
      <c r="N147" s="11" t="str">
        <f>HYPERLINK("https://drive.google.com/file/d/0Bxf6anvYj47HZGpqZlRfNnBMTWM/view?usp=sharing","Leja me nr. 05-351-286903")</f>
        <v>Leja me nr. 05-351-286903</v>
      </c>
      <c r="O147" s="11" t="str">
        <f>HYPERLINK("https://drive.google.com/file/d/0Bxf6anvYj47HSUd0blZZb28xTm8/view?usp=sharing","Situacioni")</f>
        <v>Situacioni</v>
      </c>
    </row>
    <row r="148" spans="1:15" ht="25.5" x14ac:dyDescent="0.2">
      <c r="A148" s="4">
        <v>142</v>
      </c>
      <c r="B148" s="5">
        <v>42387</v>
      </c>
      <c r="C148" s="5">
        <v>42450</v>
      </c>
      <c r="D148" s="7" t="s">
        <v>447</v>
      </c>
      <c r="E148" s="7" t="s">
        <v>448</v>
      </c>
      <c r="F148" s="7" t="s">
        <v>448</v>
      </c>
      <c r="G148" s="7" t="s">
        <v>278</v>
      </c>
      <c r="H148" s="33">
        <v>11213.29</v>
      </c>
      <c r="I148" s="36">
        <v>114628.57</v>
      </c>
      <c r="J148" s="36">
        <v>75129.78</v>
      </c>
      <c r="K148" s="38">
        <f t="shared" si="3"/>
        <v>189758.35</v>
      </c>
      <c r="L148" s="7" t="s">
        <v>449</v>
      </c>
      <c r="M148" s="7" t="s">
        <v>353</v>
      </c>
      <c r="N148" s="11" t="str">
        <f>HYPERLINK("https://drive.google.com/file/d/0Bxf6anvYj47HbUlCQUdPZFQ5aDA/view?usp=sharing","Leja me nr. 05-351-168822/1")</f>
        <v>Leja me nr. 05-351-168822/1</v>
      </c>
      <c r="O148" s="11" t="str">
        <f>HYPERLINK("https://drive.google.com/file/d/0Bxf6anvYj47HNkUtd2xCUHhIaGs/view?usp=sharing","Situacioni")</f>
        <v>Situacioni</v>
      </c>
    </row>
    <row r="149" spans="1:15" ht="25.5" x14ac:dyDescent="0.2">
      <c r="A149" s="4">
        <v>143</v>
      </c>
      <c r="B149" s="5">
        <v>42391</v>
      </c>
      <c r="C149" s="5">
        <v>42450</v>
      </c>
      <c r="D149" s="7" t="s">
        <v>450</v>
      </c>
      <c r="E149" s="7" t="s">
        <v>450</v>
      </c>
      <c r="F149" s="7" t="s">
        <v>451</v>
      </c>
      <c r="G149" s="7" t="s">
        <v>302</v>
      </c>
      <c r="H149" s="33">
        <v>473.46</v>
      </c>
      <c r="I149" s="36">
        <v>6297.01</v>
      </c>
      <c r="J149" s="36">
        <v>3172.17</v>
      </c>
      <c r="K149" s="38">
        <f t="shared" si="3"/>
        <v>9469.18</v>
      </c>
      <c r="L149" s="7" t="s">
        <v>60</v>
      </c>
      <c r="M149" s="7" t="s">
        <v>91</v>
      </c>
      <c r="N149" s="11" t="str">
        <f>HYPERLINK("https://drive.google.com/file/d/0Bxf6anvYj47HNjZSTTNobllKS0E/view?usp=sharing","Leja me nr. 05-351-129205/1")</f>
        <v>Leja me nr. 05-351-129205/1</v>
      </c>
      <c r="O149" s="11" t="str">
        <f>HYPERLINK("https://drive.google.com/file/d/0Bxf6anvYj47HODlucjhsRnRzNG8/view?usp=sharing","Situacioni")</f>
        <v>Situacioni</v>
      </c>
    </row>
    <row r="150" spans="1:15" ht="25.5" x14ac:dyDescent="0.2">
      <c r="A150" s="4">
        <v>144</v>
      </c>
      <c r="B150" s="5">
        <v>42391</v>
      </c>
      <c r="C150" s="5">
        <v>42450</v>
      </c>
      <c r="D150" s="7" t="s">
        <v>452</v>
      </c>
      <c r="E150" s="7" t="s">
        <v>452</v>
      </c>
      <c r="F150" s="7" t="s">
        <v>451</v>
      </c>
      <c r="G150" s="7" t="s">
        <v>302</v>
      </c>
      <c r="H150" s="33">
        <v>473.46</v>
      </c>
      <c r="I150" s="36">
        <v>6297.01</v>
      </c>
      <c r="J150" s="36">
        <v>3172.17</v>
      </c>
      <c r="K150" s="38">
        <f t="shared" si="3"/>
        <v>9469.18</v>
      </c>
      <c r="L150" s="7" t="s">
        <v>60</v>
      </c>
      <c r="M150" s="7" t="s">
        <v>91</v>
      </c>
      <c r="N150" s="11" t="str">
        <f>HYPERLINK("https://drive.google.com/file/d/0Bxf6anvYj47HcHBHNG5yM0Y3aTg/view?usp=sharing","Leja me nr. 05-351-126151/1")</f>
        <v>Leja me nr. 05-351-126151/1</v>
      </c>
      <c r="O150" s="11" t="str">
        <f>HYPERLINK("https://drive.google.com/file/d/0Bxf6anvYj47HMkFPc3pDMjBJRTA/view?usp=sharing","Situacioni")</f>
        <v>Situacioni</v>
      </c>
    </row>
    <row r="151" spans="1:15" ht="51" x14ac:dyDescent="0.2">
      <c r="A151" s="4">
        <v>145</v>
      </c>
      <c r="B151" s="5">
        <v>42291</v>
      </c>
      <c r="C151" s="5">
        <v>42431</v>
      </c>
      <c r="D151" s="7" t="s">
        <v>453</v>
      </c>
      <c r="E151" s="7" t="s">
        <v>454</v>
      </c>
      <c r="F151" s="7" t="s">
        <v>455</v>
      </c>
      <c r="G151" s="7" t="s">
        <v>302</v>
      </c>
      <c r="H151" s="33">
        <v>7165.2</v>
      </c>
      <c r="I151" s="36">
        <v>73479.839999999997</v>
      </c>
      <c r="J151" s="36">
        <v>48006.84</v>
      </c>
      <c r="K151" s="38">
        <f t="shared" si="3"/>
        <v>121486.68</v>
      </c>
      <c r="L151" s="7" t="s">
        <v>357</v>
      </c>
      <c r="M151" s="7" t="s">
        <v>26</v>
      </c>
      <c r="N151" s="11" t="str">
        <f>HYPERLINK("https://drive.google.com/file/d/0Bxf6anvYj47Hc3h6dkU4SlVvYTQ/view?usp=sharing","Leja me nr. 05-351-234747")</f>
        <v>Leja me nr. 05-351-234747</v>
      </c>
      <c r="O151" s="11" t="str">
        <f>HYPERLINK("https://drive.google.com/file/d/0Bxf6anvYj47HVTNCSHk2UnVzSDg/view?usp=sharing","Situacioni")</f>
        <v>Situacioni</v>
      </c>
    </row>
    <row r="152" spans="1:15" ht="15" x14ac:dyDescent="0.2">
      <c r="A152" s="4">
        <v>146</v>
      </c>
      <c r="B152" s="5">
        <v>42383</v>
      </c>
      <c r="C152" s="5">
        <v>42429</v>
      </c>
      <c r="D152" s="7" t="s">
        <v>456</v>
      </c>
      <c r="E152" s="7" t="s">
        <v>456</v>
      </c>
      <c r="F152" s="7" t="s">
        <v>120</v>
      </c>
      <c r="G152" s="7" t="s">
        <v>84</v>
      </c>
      <c r="H152" s="33">
        <v>222.8</v>
      </c>
      <c r="I152" s="36">
        <v>1185.29</v>
      </c>
      <c r="J152" s="36">
        <v>1492.76</v>
      </c>
      <c r="K152" s="38">
        <f t="shared" si="3"/>
        <v>2678.05</v>
      </c>
      <c r="L152" s="7" t="s">
        <v>36</v>
      </c>
      <c r="M152" s="7" t="s">
        <v>210</v>
      </c>
      <c r="N152" s="11" t="str">
        <f>HYPERLINK("https://drive.google.com/file/d/0Bxf6anvYj47HN1N5M2wteWc5WW8/view?usp=sharing","Leja me nr. 05-351-9131")</f>
        <v>Leja me nr. 05-351-9131</v>
      </c>
      <c r="O152" s="11" t="str">
        <f>HYPERLINK("https://drive.google.com/file/d/0Bxf6anvYj47HRXBCR3dkMHAxQXc/view?usp=sharing","Situacioni")</f>
        <v>Situacioni</v>
      </c>
    </row>
    <row r="153" spans="1:15" ht="25.5" x14ac:dyDescent="0.2">
      <c r="A153" s="4">
        <v>147</v>
      </c>
      <c r="B153" s="5">
        <v>42368</v>
      </c>
      <c r="C153" s="5">
        <v>42426</v>
      </c>
      <c r="D153" s="7" t="s">
        <v>457</v>
      </c>
      <c r="E153" s="7" t="s">
        <v>457</v>
      </c>
      <c r="F153" s="7" t="s">
        <v>458</v>
      </c>
      <c r="G153" s="7" t="s">
        <v>92</v>
      </c>
      <c r="H153" s="34">
        <v>1062</v>
      </c>
      <c r="I153" s="36">
        <v>14124.6</v>
      </c>
      <c r="J153" s="36">
        <v>7115.4</v>
      </c>
      <c r="K153" s="38">
        <f t="shared" si="3"/>
        <v>21240</v>
      </c>
      <c r="L153" s="7" t="s">
        <v>105</v>
      </c>
      <c r="M153" s="7" t="s">
        <v>459</v>
      </c>
      <c r="N153" s="11" t="str">
        <f>HYPERLINK("https://drive.google.com/file/d/0Bxf6anvYj47HTkN0NXMtdklMVkE/view?usp=sharing","Leja me nr. 05-350-201126/2")</f>
        <v>Leja me nr. 05-350-201126/2</v>
      </c>
      <c r="O153" s="11" t="str">
        <f>HYPERLINK("https://drive.google.com/file/d/0Bxf6anvYj47HNE5vcWw1QU9QVEU/view?usp=sharing","Situacioni")</f>
        <v>Situacioni</v>
      </c>
    </row>
    <row r="154" spans="1:15" ht="25.5" x14ac:dyDescent="0.2">
      <c r="A154" s="4">
        <v>148</v>
      </c>
      <c r="B154" s="5">
        <v>42398</v>
      </c>
      <c r="C154" s="5">
        <v>42426</v>
      </c>
      <c r="D154" s="7" t="s">
        <v>460</v>
      </c>
      <c r="E154" s="7" t="s">
        <v>460</v>
      </c>
      <c r="F154" s="7" t="s">
        <v>461</v>
      </c>
      <c r="G154" s="7" t="s">
        <v>302</v>
      </c>
      <c r="H154" s="33">
        <v>195</v>
      </c>
      <c r="I154" s="36">
        <v>520.11</v>
      </c>
      <c r="J154" s="36">
        <v>1310.0509999999999</v>
      </c>
      <c r="K154" s="38">
        <f t="shared" si="3"/>
        <v>1830.1610000000001</v>
      </c>
      <c r="L154" s="7" t="s">
        <v>19</v>
      </c>
      <c r="M154" s="7" t="s">
        <v>91</v>
      </c>
      <c r="N154" s="11" t="str">
        <f>HYPERLINK("https://drive.google.com/file/d/0Bxf6anvYj47HSEwya0dVNTRRUVk/view?usp=sharing","Leja me nr. 05-351-23124")</f>
        <v>Leja me nr. 05-351-23124</v>
      </c>
      <c r="O154" s="11" t="str">
        <f>HYPERLINK("https://drive.google.com/file/d/0Bxf6anvYj47HdWdaZjhNdUZ5MVU/view?usp=sharing","Situacioni")</f>
        <v>Situacioni</v>
      </c>
    </row>
    <row r="155" spans="1:15" ht="38.25" x14ac:dyDescent="0.2">
      <c r="A155" s="4">
        <v>149</v>
      </c>
      <c r="B155" s="5">
        <v>42256</v>
      </c>
      <c r="C155" s="5">
        <v>42425</v>
      </c>
      <c r="D155" s="7" t="s">
        <v>462</v>
      </c>
      <c r="E155" s="7" t="s">
        <v>463</v>
      </c>
      <c r="F155" s="7" t="s">
        <v>464</v>
      </c>
      <c r="G155" s="7" t="s">
        <v>89</v>
      </c>
      <c r="H155" s="34">
        <v>2590.6999999999998</v>
      </c>
      <c r="I155" s="36">
        <v>30231.03</v>
      </c>
      <c r="J155" s="36">
        <v>17357.689999999999</v>
      </c>
      <c r="K155" s="38">
        <f t="shared" si="3"/>
        <v>47588.72</v>
      </c>
      <c r="L155" s="7" t="s">
        <v>162</v>
      </c>
      <c r="M155" s="7" t="s">
        <v>26</v>
      </c>
      <c r="N155" s="11" t="str">
        <f>HYPERLINK("https://drive.google.com/file/d/0Bxf6anvYj47HYjRhQjFkMWlEUlE/view?usp=sharing","Leja me nr. 05-351-204748")</f>
        <v>Leja me nr. 05-351-204748</v>
      </c>
      <c r="O155" s="11" t="str">
        <f>HYPERLINK("https://drive.google.com/file/d/0Bxf6anvYj47HdnM0NVZ4Wl9yb1U/view?usp=sharing","Situacioni")</f>
        <v>Situacioni</v>
      </c>
    </row>
    <row r="156" spans="1:15" ht="25.5" x14ac:dyDescent="0.2">
      <c r="A156" s="4">
        <v>150</v>
      </c>
      <c r="B156" s="5">
        <v>42398</v>
      </c>
      <c r="C156" s="5">
        <v>42425</v>
      </c>
      <c r="D156" s="7" t="s">
        <v>460</v>
      </c>
      <c r="E156" s="7" t="s">
        <v>460</v>
      </c>
      <c r="F156" s="7" t="s">
        <v>461</v>
      </c>
      <c r="G156" s="7" t="s">
        <v>302</v>
      </c>
      <c r="H156" s="33">
        <v>268.17</v>
      </c>
      <c r="I156" s="36">
        <v>1796.73</v>
      </c>
      <c r="J156" s="36">
        <v>713.33</v>
      </c>
      <c r="K156" s="38">
        <f t="shared" si="3"/>
        <v>2510.06</v>
      </c>
      <c r="L156" s="7" t="s">
        <v>60</v>
      </c>
      <c r="M156" s="7" t="s">
        <v>91</v>
      </c>
      <c r="N156" s="11" t="str">
        <f>HYPERLINK("https://drive.google.com/file/d/0Bxf6anvYj47HZFdMQVVLbVhTZk0/view?usp=sharing","Leja me nr. 05-351-23135")</f>
        <v>Leja me nr. 05-351-23135</v>
      </c>
      <c r="O156" s="11" t="str">
        <f>HYPERLINK("https://drive.google.com/file/d/0Bxf6anvYj47HTklFTU12bFlTT0U/view?usp=sharing","Situacioni")</f>
        <v>Situacioni</v>
      </c>
    </row>
    <row r="157" spans="1:15" ht="25.5" x14ac:dyDescent="0.2">
      <c r="A157" s="4">
        <v>151</v>
      </c>
      <c r="B157" s="5">
        <v>42352</v>
      </c>
      <c r="C157" s="5">
        <v>42423</v>
      </c>
      <c r="D157" s="7" t="s">
        <v>465</v>
      </c>
      <c r="E157" s="7" t="s">
        <v>466</v>
      </c>
      <c r="F157" s="7" t="s">
        <v>467</v>
      </c>
      <c r="G157" s="7" t="s">
        <v>302</v>
      </c>
      <c r="H157" s="33">
        <v>60</v>
      </c>
      <c r="I157" s="36" t="s">
        <v>468</v>
      </c>
      <c r="J157" s="51" t="s">
        <v>468</v>
      </c>
      <c r="K157" s="38" t="s">
        <v>468</v>
      </c>
      <c r="L157" s="7" t="s">
        <v>36</v>
      </c>
      <c r="M157" s="7" t="s">
        <v>427</v>
      </c>
      <c r="N157" s="11" t="str">
        <f>HYPERLINK("https://drive.google.com/file/d/0Bxf6anvYj47HOGN3b25oSWpaNFU/view?usp=sharing","Leja me nr. 05-350-275525")</f>
        <v>Leja me nr. 05-350-275525</v>
      </c>
      <c r="O157" s="11" t="str">
        <f>HYPERLINK("https://drive.google.com/file/d/0Bxf6anvYj47HMWpfVXNMM0UxSnc/view?usp=sharing","Situacioni")</f>
        <v>Situacioni</v>
      </c>
    </row>
    <row r="158" spans="1:15" ht="51" x14ac:dyDescent="0.2">
      <c r="A158" s="4">
        <v>152</v>
      </c>
      <c r="B158" s="5">
        <v>42152</v>
      </c>
      <c r="C158" s="5">
        <v>42423</v>
      </c>
      <c r="D158" s="7" t="s">
        <v>469</v>
      </c>
      <c r="E158" s="7" t="s">
        <v>470</v>
      </c>
      <c r="F158" s="7" t="s">
        <v>470</v>
      </c>
      <c r="G158" s="7" t="s">
        <v>321</v>
      </c>
      <c r="H158" s="33">
        <v>3044.9</v>
      </c>
      <c r="I158" s="36">
        <v>36418.06</v>
      </c>
      <c r="J158" s="36">
        <v>20400.830000000002</v>
      </c>
      <c r="K158" s="38">
        <f t="shared" si="3"/>
        <v>56818.89</v>
      </c>
      <c r="L158" s="7" t="s">
        <v>162</v>
      </c>
      <c r="M158" s="7" t="s">
        <v>26</v>
      </c>
      <c r="N158" s="11" t="str">
        <f>HYPERLINK("https://drive.google.com/file/d/0Bxf6anvYj47HVV9HUXNEa2JJcWc/view?usp=sharing","Leja me nr. 05-351-112758")</f>
        <v>Leja me nr. 05-351-112758</v>
      </c>
      <c r="O158" s="11" t="str">
        <f>HYPERLINK("https://drive.google.com/file/d/0Bxf6anvYj47Hc3VrM2FLOWhCc3M/view?usp=sharing","Situacioni")</f>
        <v>Situacioni</v>
      </c>
    </row>
    <row r="159" spans="1:15" ht="25.5" x14ac:dyDescent="0.2">
      <c r="A159" s="4">
        <v>153</v>
      </c>
      <c r="B159" s="5">
        <v>42220</v>
      </c>
      <c r="C159" s="5">
        <v>42422</v>
      </c>
      <c r="D159" s="7" t="s">
        <v>471</v>
      </c>
      <c r="E159" s="7" t="s">
        <v>470</v>
      </c>
      <c r="F159" s="7" t="s">
        <v>470</v>
      </c>
      <c r="G159" s="7" t="s">
        <v>321</v>
      </c>
      <c r="H159" s="33">
        <v>6379.3</v>
      </c>
      <c r="I159" s="36">
        <v>77818.17</v>
      </c>
      <c r="J159" s="36">
        <v>42741.31</v>
      </c>
      <c r="K159" s="38">
        <f t="shared" si="3"/>
        <v>120559.48</v>
      </c>
      <c r="L159" s="7" t="s">
        <v>198</v>
      </c>
      <c r="M159" s="7" t="s">
        <v>26</v>
      </c>
      <c r="N159" s="11" t="str">
        <f>HYPERLINK("https://drive.google.com/file/d/0Bxf6anvYj47HSlVobzFTQzI2bXM/view?usp=sharing","Leja me nr. 05-351-173148")</f>
        <v>Leja me nr. 05-351-173148</v>
      </c>
      <c r="O159" s="11" t="str">
        <f>HYPERLINK("https://drive.google.com/file/d/0Bxf6anvYj47HRkVWLTUzbDFiZW8/view?usp=sharing","Situacioni")</f>
        <v>Situacioni</v>
      </c>
    </row>
    <row r="160" spans="1:15" ht="15" x14ac:dyDescent="0.2">
      <c r="A160" s="4">
        <v>154</v>
      </c>
      <c r="B160" s="5">
        <v>42389</v>
      </c>
      <c r="C160" s="5">
        <v>42422</v>
      </c>
      <c r="D160" s="7" t="s">
        <v>472</v>
      </c>
      <c r="E160" s="7" t="s">
        <v>472</v>
      </c>
      <c r="F160" s="7" t="s">
        <v>473</v>
      </c>
      <c r="G160" s="7" t="s">
        <v>95</v>
      </c>
      <c r="H160" s="33">
        <v>2458.6</v>
      </c>
      <c r="I160" s="36">
        <v>13079.75</v>
      </c>
      <c r="J160" s="36">
        <v>16472.62</v>
      </c>
      <c r="K160" s="38">
        <f t="shared" si="3"/>
        <v>29552.37</v>
      </c>
      <c r="L160" s="7" t="s">
        <v>36</v>
      </c>
      <c r="M160" s="7" t="s">
        <v>210</v>
      </c>
      <c r="N160" s="11" t="str">
        <f>HYPERLINK("https://drive.google.com/file/d/0Bxf6anvYj47Hc1Vfa0x5U3NWWlE/view?usp=sharing","Leja me nr. 05-351-15206")</f>
        <v>Leja me nr. 05-351-15206</v>
      </c>
      <c r="O160" s="11" t="str">
        <f>HYPERLINK("https://drive.google.com/file/d/0Bxf6anvYj47HU3F6RGpzcnppc0k/view?usp=sharing","Situacioni")</f>
        <v>Situacioni</v>
      </c>
    </row>
    <row r="161" spans="1:15" ht="25.5" x14ac:dyDescent="0.2">
      <c r="A161" s="4">
        <v>155</v>
      </c>
      <c r="B161" s="5">
        <v>42345</v>
      </c>
      <c r="C161" s="5">
        <v>42411</v>
      </c>
      <c r="D161" s="7" t="s">
        <v>474</v>
      </c>
      <c r="E161" s="7" t="s">
        <v>474</v>
      </c>
      <c r="F161" s="7" t="s">
        <v>475</v>
      </c>
      <c r="G161" s="7" t="s">
        <v>17</v>
      </c>
      <c r="H161" s="33">
        <v>299.12</v>
      </c>
      <c r="I161" s="36">
        <v>687.77</v>
      </c>
      <c r="J161" s="36">
        <v>2004.09</v>
      </c>
      <c r="K161" s="38">
        <f t="shared" si="3"/>
        <v>2691.8599999999997</v>
      </c>
      <c r="L161" s="7" t="s">
        <v>476</v>
      </c>
      <c r="M161" s="7" t="s">
        <v>91</v>
      </c>
      <c r="N161" s="11" t="str">
        <f>HYPERLINK("https://drive.google.com/file/d/0Bxf6anvYj47Hd2l2TTlHYTZacU0/view?usp=sharing","Leja me nr. 05-351-276414")</f>
        <v>Leja me nr. 05-351-276414</v>
      </c>
      <c r="O161" s="11" t="str">
        <f>HYPERLINK("https://drive.google.com/file/d/0Bxf6anvYj47HcUxleTRaSnJFQ3M/view?usp=sharing","Situacioni")</f>
        <v>Situacioni</v>
      </c>
    </row>
    <row r="162" spans="1:15" ht="15" x14ac:dyDescent="0.2">
      <c r="A162" s="4">
        <v>156</v>
      </c>
      <c r="B162" s="5">
        <v>42311</v>
      </c>
      <c r="C162" s="5">
        <v>42408</v>
      </c>
      <c r="D162" s="7" t="s">
        <v>477</v>
      </c>
      <c r="E162" s="7" t="s">
        <v>477</v>
      </c>
      <c r="F162" s="7" t="s">
        <v>181</v>
      </c>
      <c r="G162" s="7" t="s">
        <v>89</v>
      </c>
      <c r="H162" s="33">
        <v>127.82</v>
      </c>
      <c r="I162" s="36">
        <v>680</v>
      </c>
      <c r="J162" s="36">
        <v>856.39</v>
      </c>
      <c r="K162" s="38">
        <f t="shared" si="3"/>
        <v>1536.3899999999999</v>
      </c>
      <c r="L162" s="7" t="s">
        <v>36</v>
      </c>
      <c r="M162" s="7" t="s">
        <v>91</v>
      </c>
      <c r="N162" s="11" t="str">
        <f>HYPERLINK("https://drive.google.com/file/d/0Bxf6anvYj47HYnZnQ1E2LW8yaG8/view?usp=sharing","Leja me nr. 05-351-250786")</f>
        <v>Leja me nr. 05-351-250786</v>
      </c>
      <c r="O162" s="11" t="str">
        <f>HYPERLINK("https://drive.google.com/file/d/0Bxf6anvYj47HUXlpYUFlcmM1Q0E/view?usp=sharing","Situacioni")</f>
        <v>Situacioni</v>
      </c>
    </row>
    <row r="163" spans="1:15" ht="38.25" x14ac:dyDescent="0.2">
      <c r="A163" s="4">
        <v>157</v>
      </c>
      <c r="B163" s="5">
        <v>42331</v>
      </c>
      <c r="C163" s="5">
        <v>42397</v>
      </c>
      <c r="D163" s="7" t="s">
        <v>478</v>
      </c>
      <c r="E163" s="7" t="s">
        <v>479</v>
      </c>
      <c r="F163" s="7" t="s">
        <v>480</v>
      </c>
      <c r="G163" s="7" t="s">
        <v>169</v>
      </c>
      <c r="H163" s="33">
        <v>4826.78</v>
      </c>
      <c r="I163" s="36">
        <v>55150.58</v>
      </c>
      <c r="J163" s="36">
        <v>32339.42</v>
      </c>
      <c r="K163" s="38">
        <f t="shared" si="3"/>
        <v>87490</v>
      </c>
      <c r="L163" s="7" t="s">
        <v>391</v>
      </c>
      <c r="M163" s="7" t="s">
        <v>26</v>
      </c>
      <c r="N163" s="11" t="str">
        <f>HYPERLINK("https://drive.google.com/file/d/0Bxf6anvYj47HTlVwV0cwNUhMTGs/view?usp=sharing","Leja me nr. 05-351-264655")</f>
        <v>Leja me nr. 05-351-264655</v>
      </c>
      <c r="O163" s="11" t="str">
        <f>HYPERLINK("https://drive.google.com/file/d/0Bxf6anvYj47HaUs5MGhVaVdWcGs/view?usp=sharing","Situacioni")</f>
        <v>Situacioni</v>
      </c>
    </row>
    <row r="164" spans="1:15" ht="15" x14ac:dyDescent="0.2">
      <c r="A164" s="4">
        <v>158</v>
      </c>
      <c r="B164" s="5">
        <v>42361</v>
      </c>
      <c r="C164" s="5">
        <v>42394</v>
      </c>
      <c r="D164" s="7" t="s">
        <v>481</v>
      </c>
      <c r="E164" s="7" t="s">
        <v>481</v>
      </c>
      <c r="F164" s="7" t="s">
        <v>482</v>
      </c>
      <c r="G164" s="7" t="s">
        <v>30</v>
      </c>
      <c r="H164" s="35">
        <v>215.2</v>
      </c>
      <c r="I164" s="37">
        <v>572.42999999999995</v>
      </c>
      <c r="J164" s="37">
        <v>1441.84</v>
      </c>
      <c r="K164" s="38">
        <f t="shared" si="3"/>
        <v>2014.27</v>
      </c>
      <c r="L164" s="7" t="s">
        <v>19</v>
      </c>
      <c r="M164" s="7" t="s">
        <v>91</v>
      </c>
      <c r="N164" s="16" t="str">
        <f>HYPERLINK("https://drive.google.com/file/d/0Bxf6anvYj47HNDBlTWFkcHE3OFk/view?usp=sharing","Leja me nr. 05-351-288870")</f>
        <v>Leja me nr. 05-351-288870</v>
      </c>
      <c r="O164" s="16" t="str">
        <f>HYPERLINK("https://drive.google.com/file/d/0Bxf6anvYj47HNjJOaGY4aGxoQzQ/view?usp=sharing","Situacioni")</f>
        <v>Situacioni</v>
      </c>
    </row>
    <row r="165" spans="1:15" ht="15" x14ac:dyDescent="0.2">
      <c r="A165" s="4">
        <v>159</v>
      </c>
      <c r="B165" s="5">
        <v>42359</v>
      </c>
      <c r="C165" s="5">
        <v>42391</v>
      </c>
      <c r="D165" s="7" t="s">
        <v>420</v>
      </c>
      <c r="E165" s="7" t="s">
        <v>420</v>
      </c>
      <c r="F165" s="15" t="s">
        <v>421</v>
      </c>
      <c r="G165" s="7" t="s">
        <v>30</v>
      </c>
      <c r="H165" s="34">
        <v>245</v>
      </c>
      <c r="I165" s="36">
        <v>651.70000000000005</v>
      </c>
      <c r="J165" s="36">
        <v>1641.5</v>
      </c>
      <c r="K165" s="38">
        <f t="shared" si="3"/>
        <v>2293.1999999999998</v>
      </c>
      <c r="L165" s="7" t="s">
        <v>19</v>
      </c>
      <c r="M165" s="7" t="s">
        <v>91</v>
      </c>
      <c r="N165" s="11" t="str">
        <f>HYPERLINK("https://drive.google.com/file/d/0Bxf6anvYj47HcTdHUEVtLXprM3c/view?usp=sharing","Leja me nr. 05-351-230159/2")</f>
        <v>Leja me nr. 05-351-230159/2</v>
      </c>
      <c r="O165" s="11" t="str">
        <f>HYPERLINK("https://drive.google.com/file/d/0Bxf6anvYj47HZmJLVnc1TDVPd3M/view?usp=sharing","Situacioni")</f>
        <v>Situacioni</v>
      </c>
    </row>
    <row r="166" spans="1:15" ht="15" x14ac:dyDescent="0.2">
      <c r="A166" s="4">
        <v>160</v>
      </c>
      <c r="B166" s="5">
        <v>42342</v>
      </c>
      <c r="C166" s="5">
        <v>42381</v>
      </c>
      <c r="D166" s="7" t="s">
        <v>483</v>
      </c>
      <c r="E166" s="7" t="s">
        <v>483</v>
      </c>
      <c r="F166" s="7" t="s">
        <v>484</v>
      </c>
      <c r="G166" s="7" t="s">
        <v>30</v>
      </c>
      <c r="H166" s="33">
        <v>252.27</v>
      </c>
      <c r="I166" s="36">
        <v>671.04</v>
      </c>
      <c r="J166" s="36">
        <v>1690.21</v>
      </c>
      <c r="K166" s="38">
        <f t="shared" si="3"/>
        <v>2361.25</v>
      </c>
      <c r="L166" s="7" t="s">
        <v>19</v>
      </c>
      <c r="M166" s="7" t="s">
        <v>91</v>
      </c>
      <c r="N166" s="11" t="str">
        <f>HYPERLINK("https://drive.google.com/file/d/0Bxf6anvYj47HdXRPQ3Fma0xlams/view?usp=sharing","Leja me nr.05-351-235050")</f>
        <v>Leja me nr.05-351-235050</v>
      </c>
      <c r="O166" s="11" t="str">
        <f>HYPERLINK("https://drive.google.com/file/d/0Bxf6anvYj47HNWh5WGZKTXM3blU/view?usp=sharing","Situacioni")</f>
        <v>Situacioni</v>
      </c>
    </row>
    <row r="167" spans="1:15" ht="15" x14ac:dyDescent="0.2">
      <c r="A167" s="4">
        <v>161</v>
      </c>
      <c r="B167" s="5">
        <v>42234</v>
      </c>
      <c r="C167" s="5">
        <v>42375</v>
      </c>
      <c r="D167" s="7" t="s">
        <v>485</v>
      </c>
      <c r="E167" s="28" t="s">
        <v>485</v>
      </c>
      <c r="F167" s="7" t="s">
        <v>120</v>
      </c>
      <c r="G167" s="7" t="s">
        <v>486</v>
      </c>
      <c r="H167" s="33">
        <v>214.7</v>
      </c>
      <c r="I167" s="36">
        <v>1142.2</v>
      </c>
      <c r="J167" s="36">
        <v>1438.49</v>
      </c>
      <c r="K167" s="38">
        <f t="shared" si="3"/>
        <v>2580.69</v>
      </c>
      <c r="L167" s="7" t="s">
        <v>36</v>
      </c>
      <c r="M167" s="7" t="s">
        <v>210</v>
      </c>
      <c r="N167" s="11" t="str">
        <f>HYPERLINK("https://drive.google.com/file/d/0Bxf6anvYj47HX3J0Rl85V0YxMlE/view?usp=sharing","Leja me nr. 05-351-186336")</f>
        <v>Leja me nr. 05-351-186336</v>
      </c>
      <c r="O167" s="11" t="str">
        <f>HYPERLINK("https://drive.google.com/file/d/0Bxf6anvYj47Hb0xUWDJjQmtlQ3M/view?usp=sharing","Situacioni")</f>
        <v>Situacioni</v>
      </c>
    </row>
    <row r="168" spans="1:15" ht="21.75" customHeight="1" thickBot="1" x14ac:dyDescent="0.25">
      <c r="A168" s="4"/>
      <c r="B168" s="5"/>
      <c r="C168" s="5"/>
      <c r="D168" s="7"/>
      <c r="E168" s="7"/>
      <c r="F168" s="7"/>
      <c r="G168" s="6"/>
      <c r="H168" s="8"/>
      <c r="I168" s="8"/>
      <c r="J168" s="8"/>
      <c r="K168" s="8"/>
      <c r="L168" s="7"/>
      <c r="M168" s="7"/>
      <c r="N168" s="28"/>
      <c r="O168" s="28"/>
    </row>
    <row r="169" spans="1:15" ht="21.75" customHeight="1" thickBot="1" x14ac:dyDescent="0.25">
      <c r="A169" s="4"/>
      <c r="B169" s="5"/>
      <c r="C169" s="5"/>
      <c r="D169" s="7"/>
      <c r="E169" s="7"/>
      <c r="F169" s="39"/>
      <c r="G169" s="43" t="s">
        <v>490</v>
      </c>
      <c r="H169" s="44">
        <f>SUM(H7:H168)</f>
        <v>534291.54</v>
      </c>
      <c r="I169" s="45">
        <f>SUM(I7:I168)</f>
        <v>5436381.7800000003</v>
      </c>
      <c r="J169" s="45">
        <f>SUM(J7:J167)</f>
        <v>3392340.0849999986</v>
      </c>
      <c r="K169" s="46">
        <f>SUM(K7:K167)</f>
        <v>8828721.8649999965</v>
      </c>
      <c r="L169" s="40"/>
      <c r="M169" s="7"/>
      <c r="N169" s="28"/>
      <c r="O169" s="28"/>
    </row>
    <row r="170" spans="1:15" ht="21.75" customHeight="1" x14ac:dyDescent="0.2">
      <c r="A170" s="4"/>
      <c r="B170" s="5"/>
      <c r="C170" s="5"/>
      <c r="D170" s="7"/>
      <c r="E170" s="9"/>
      <c r="F170" s="7"/>
      <c r="G170" s="42"/>
      <c r="H170" s="41"/>
      <c r="I170" s="41"/>
      <c r="J170" s="41"/>
      <c r="K170" s="41"/>
      <c r="L170" s="7"/>
      <c r="M170" s="7"/>
      <c r="N170" s="28"/>
      <c r="O170" s="28"/>
    </row>
    <row r="171" spans="1:15" ht="21.75" customHeight="1" x14ac:dyDescent="0.2">
      <c r="A171" s="4"/>
      <c r="B171" s="5"/>
      <c r="C171" s="5"/>
      <c r="D171" s="7"/>
      <c r="E171" s="9"/>
      <c r="F171" s="7"/>
      <c r="G171" s="7"/>
      <c r="H171" s="10"/>
      <c r="I171" s="10"/>
      <c r="J171" s="10"/>
      <c r="K171" s="10"/>
      <c r="L171" s="7"/>
      <c r="M171" s="7"/>
      <c r="N171" s="28"/>
      <c r="O171" s="28"/>
    </row>
    <row r="172" spans="1:15" ht="21.75" customHeight="1" x14ac:dyDescent="0.2">
      <c r="A172" s="4"/>
      <c r="B172" s="5"/>
      <c r="C172" s="5"/>
      <c r="D172" s="7"/>
      <c r="E172" s="9"/>
      <c r="F172" s="7"/>
      <c r="G172" s="7"/>
      <c r="H172" s="10"/>
      <c r="I172" s="10"/>
      <c r="J172" s="10"/>
      <c r="K172" s="10"/>
      <c r="L172" s="7"/>
      <c r="M172" s="7"/>
      <c r="N172" s="28"/>
      <c r="O172" s="28"/>
    </row>
    <row r="173" spans="1:15" ht="21.75" customHeight="1" x14ac:dyDescent="0.2">
      <c r="A173" s="4"/>
      <c r="B173" s="5"/>
      <c r="C173" s="5"/>
      <c r="D173" s="7"/>
      <c r="E173" s="9"/>
      <c r="F173" s="7"/>
      <c r="G173" s="7"/>
      <c r="H173" s="10"/>
      <c r="I173" s="10"/>
      <c r="J173" s="10"/>
      <c r="K173" s="10"/>
      <c r="L173" s="7"/>
      <c r="M173" s="7"/>
      <c r="N173" s="28"/>
      <c r="O173" s="28"/>
    </row>
    <row r="174" spans="1:15" ht="21.75" customHeight="1" x14ac:dyDescent="0.2">
      <c r="A174" s="4"/>
      <c r="B174" s="5"/>
      <c r="C174" s="5"/>
      <c r="D174" s="7"/>
      <c r="E174" s="9"/>
      <c r="F174" s="7"/>
      <c r="G174" s="7"/>
      <c r="H174" s="10"/>
      <c r="I174" s="10"/>
      <c r="J174" s="10"/>
      <c r="K174" s="10"/>
      <c r="L174" s="7"/>
      <c r="M174" s="7"/>
      <c r="N174" s="28"/>
      <c r="O174" s="28"/>
    </row>
    <row r="175" spans="1:15" ht="21.75" customHeight="1" x14ac:dyDescent="0.2">
      <c r="A175" s="4"/>
      <c r="B175" s="5"/>
      <c r="C175" s="5"/>
      <c r="D175" s="7"/>
      <c r="E175" s="9"/>
      <c r="F175" s="7"/>
      <c r="G175" s="7"/>
      <c r="H175" s="10"/>
      <c r="I175" s="10"/>
      <c r="J175" s="10"/>
      <c r="K175" s="10"/>
      <c r="L175" s="7"/>
      <c r="M175" s="7"/>
      <c r="N175" s="28"/>
      <c r="O175" s="28"/>
    </row>
    <row r="176" spans="1:15" ht="21.75" customHeight="1" x14ac:dyDescent="0.2">
      <c r="A176" s="4"/>
      <c r="B176" s="5"/>
      <c r="C176" s="5"/>
      <c r="D176" s="7"/>
      <c r="E176" s="9"/>
      <c r="F176" s="7"/>
      <c r="G176" s="7"/>
      <c r="H176" s="10"/>
      <c r="I176" s="10"/>
      <c r="J176" s="10"/>
      <c r="K176" s="10"/>
      <c r="L176" s="7"/>
      <c r="M176" s="7"/>
      <c r="N176" s="28"/>
      <c r="O176" s="28"/>
    </row>
    <row r="177" spans="1:15" ht="21.75" customHeight="1" x14ac:dyDescent="0.2">
      <c r="A177" s="4"/>
      <c r="B177" s="5"/>
      <c r="C177" s="5"/>
      <c r="D177" s="7"/>
      <c r="E177" s="9"/>
      <c r="F177" s="7"/>
      <c r="G177" s="7"/>
      <c r="H177" s="10"/>
      <c r="I177" s="10"/>
      <c r="J177" s="10"/>
      <c r="K177" s="10"/>
      <c r="L177" s="7"/>
      <c r="M177" s="7"/>
      <c r="N177" s="28"/>
      <c r="O177" s="28"/>
    </row>
    <row r="178" spans="1:15" ht="21.75" customHeight="1" x14ac:dyDescent="0.2">
      <c r="A178" s="4"/>
      <c r="B178" s="5"/>
      <c r="C178" s="5"/>
      <c r="D178" s="7"/>
      <c r="E178" s="9"/>
      <c r="F178" s="7"/>
      <c r="G178" s="7"/>
      <c r="H178" s="10"/>
      <c r="I178" s="10"/>
      <c r="J178" s="10"/>
      <c r="K178" s="10"/>
      <c r="L178" s="7"/>
      <c r="M178" s="7"/>
      <c r="N178" s="28"/>
      <c r="O178" s="28"/>
    </row>
    <row r="179" spans="1:15" ht="21.75" customHeight="1" x14ac:dyDescent="0.2">
      <c r="A179" s="4"/>
      <c r="B179" s="5"/>
      <c r="C179" s="5"/>
      <c r="D179" s="7"/>
      <c r="E179" s="9"/>
      <c r="F179" s="7"/>
      <c r="G179" s="7"/>
      <c r="H179" s="10"/>
      <c r="I179" s="10"/>
      <c r="J179" s="10"/>
      <c r="K179" s="10"/>
      <c r="L179" s="7"/>
      <c r="M179" s="7"/>
      <c r="N179" s="28"/>
      <c r="O179" s="28"/>
    </row>
    <row r="180" spans="1:15" ht="21.75" customHeight="1" x14ac:dyDescent="0.2">
      <c r="A180" s="4"/>
      <c r="B180" s="5"/>
      <c r="C180" s="5"/>
      <c r="D180" s="7"/>
      <c r="E180" s="9"/>
      <c r="F180" s="7"/>
      <c r="G180" s="7"/>
      <c r="H180" s="10"/>
      <c r="I180" s="10"/>
      <c r="J180" s="10"/>
      <c r="K180" s="10"/>
      <c r="L180" s="7"/>
      <c r="M180" s="7"/>
      <c r="N180" s="28"/>
      <c r="O180" s="28"/>
    </row>
    <row r="181" spans="1:15" ht="21.75" customHeight="1" x14ac:dyDescent="0.2">
      <c r="A181" s="4"/>
      <c r="B181" s="5"/>
      <c r="C181" s="5"/>
      <c r="D181" s="7"/>
      <c r="E181" s="9"/>
      <c r="F181" s="7"/>
      <c r="G181" s="7"/>
      <c r="H181" s="10"/>
      <c r="I181" s="10"/>
      <c r="J181" s="10"/>
      <c r="K181" s="10"/>
      <c r="L181" s="7"/>
      <c r="M181" s="7"/>
      <c r="N181" s="28"/>
      <c r="O181" s="28"/>
    </row>
    <row r="182" spans="1:15" ht="21.75" customHeight="1" x14ac:dyDescent="0.2">
      <c r="A182" s="4"/>
      <c r="B182" s="5"/>
      <c r="C182" s="5"/>
      <c r="D182" s="7"/>
      <c r="E182" s="9"/>
      <c r="F182" s="7"/>
      <c r="G182" s="7"/>
      <c r="H182" s="10"/>
      <c r="I182" s="10"/>
      <c r="J182" s="10"/>
      <c r="K182" s="10"/>
      <c r="L182" s="7"/>
      <c r="M182" s="7"/>
      <c r="N182" s="28"/>
      <c r="O182" s="28"/>
    </row>
    <row r="183" spans="1:15" ht="21.75" customHeight="1" x14ac:dyDescent="0.2">
      <c r="A183" s="4"/>
      <c r="B183" s="5"/>
      <c r="C183" s="5"/>
      <c r="D183" s="7"/>
      <c r="E183" s="9"/>
      <c r="F183" s="7"/>
      <c r="G183" s="7"/>
      <c r="H183" s="10"/>
      <c r="I183" s="10"/>
      <c r="J183" s="10"/>
      <c r="K183" s="10"/>
      <c r="L183" s="7"/>
      <c r="M183" s="7"/>
      <c r="N183" s="28"/>
      <c r="O183" s="28"/>
    </row>
    <row r="184" spans="1:15" ht="21.75" customHeight="1" x14ac:dyDescent="0.2">
      <c r="A184" s="4"/>
      <c r="B184" s="5"/>
      <c r="C184" s="5"/>
      <c r="D184" s="7"/>
      <c r="E184" s="9"/>
      <c r="F184" s="7"/>
      <c r="G184" s="7"/>
      <c r="H184" s="10"/>
      <c r="I184" s="10"/>
      <c r="J184" s="10"/>
      <c r="K184" s="10"/>
      <c r="L184" s="7"/>
      <c r="M184" s="7"/>
      <c r="N184" s="28"/>
      <c r="O184" s="28"/>
    </row>
    <row r="185" spans="1:15" ht="21.75" customHeight="1" x14ac:dyDescent="0.2">
      <c r="A185" s="29"/>
      <c r="B185" s="21"/>
      <c r="C185" s="21"/>
      <c r="D185" s="12"/>
      <c r="E185" s="23"/>
      <c r="F185" s="12"/>
      <c r="G185" s="12"/>
      <c r="H185" s="22"/>
      <c r="I185" s="22"/>
      <c r="J185" s="22"/>
      <c r="K185" s="22"/>
      <c r="L185" s="12"/>
      <c r="M185" s="12"/>
      <c r="N185" s="24"/>
      <c r="O185" s="24"/>
    </row>
  </sheetData>
  <autoFilter ref="B6:M169"/>
  <mergeCells count="5">
    <mergeCell ref="N1:O5"/>
    <mergeCell ref="A4:M4"/>
    <mergeCell ref="A3:M3"/>
    <mergeCell ref="A5:M5"/>
    <mergeCell ref="A1:M2"/>
  </mergeCells>
  <hyperlinks>
    <hyperlink ref="N26" r:id="rId1" display="https://drive.google.com/open?id=1tNKLBo6NajBYbNb6lQUHX7OVQb2hcjiF"/>
    <hyperlink ref="O26" r:id="rId2" display="https://drive.google.com/open?id=12jyJ7GZfuiG-7X1dAOk3prXKuschBf4V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e lejeve të lëshuara për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Besiana Musta</dc:creator>
  <cp:lastModifiedBy>Besiana Musta</cp:lastModifiedBy>
  <dcterms:created xsi:type="dcterms:W3CDTF">2019-05-07T07:03:03Z</dcterms:created>
  <dcterms:modified xsi:type="dcterms:W3CDTF">2019-05-07T08:43:44Z</dcterms:modified>
</cp:coreProperties>
</file>